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5-year summary" sheetId="2" state="visible" r:id="rId2"/>
    <sheet xmlns:r="http://schemas.openxmlformats.org/officeDocument/2006/relationships" name="Asset register" sheetId="3" state="visible" r:id="rId3"/>
    <sheet xmlns:r="http://schemas.openxmlformats.org/officeDocument/2006/relationships" name="Depreciation by asset" sheetId="4" state="visible" r:id="rId4"/>
    <sheet xmlns:r="http://schemas.openxmlformats.org/officeDocument/2006/relationships" name="Loan schedule" sheetId="5" state="visible" r:id="rId5"/>
  </sheets>
  <definedNames>
    <definedName name="_xlnm.Print_Area" localSheetId="1">'5-year summary'!$A$1:$G$48</definedName>
    <definedName name="_xlnm.Print_Titles" localSheetId="2">'Asset register'!$6:$6</definedName>
    <definedName name="_xlnm.Print_Area" localSheetId="2">'Asset register'!$A$1:$O$40</definedName>
    <definedName name="_xlnm.Print_Titles" localSheetId="3">'Depreciation by asset'!$5:$7</definedName>
    <definedName name="_xlnm.Print_Area" localSheetId="3">'Depreciation by asset'!$A$1:$R$41</definedName>
    <definedName name="_xlnm.Print_Area" localSheetId="4">'Loan schedule'!$A$1:$N$137</definedName>
  </definedNames>
  <calcPr calcId="124519" fullCalcOnLoad="1"/>
</workbook>
</file>

<file path=xl/styles.xml><?xml version="1.0" encoding="utf-8"?>
<styleSheet xmlns="http://schemas.openxmlformats.org/spreadsheetml/2006/main">
  <numFmts count="8">
    <numFmt numFmtId="164" formatCode="yyyy-mm-dd"/>
    <numFmt numFmtId="165" formatCode="dd mmm yyyy"/>
    <numFmt numFmtId="166" formatCode="#,##0;(#,##0);&quot;-&quot;"/>
    <numFmt numFmtId="167" formatCode="0.0"/>
    <numFmt numFmtId="168" formatCode="#,##0.00;(#,##0.00);&quot;-&quot;"/>
    <numFmt numFmtId="169" formatCode="mmm yyyy"/>
    <numFmt numFmtId="170" formatCode="dd mmm yy"/>
    <numFmt numFmtId="171" formatCode="0.0%;(0.0%);&quot;-&quot;"/>
  </numFmts>
  <fonts count="14">
    <font>
      <name val="Calibri"/>
      <family val="2"/>
      <color theme="1"/>
      <sz val="11"/>
      <scheme val="minor"/>
    </font>
    <font>
      <name val="Arial"/>
      <b val="1"/>
      <color rgb="00CC1923"/>
      <sz val="18"/>
    </font>
    <font>
      <name val="Arial"/>
      <b val="1"/>
      <color rgb="00111111"/>
      <sz val="11"/>
    </font>
    <font>
      <name val="Arial"/>
      <i val="1"/>
      <color rgb="00666666"/>
      <sz val="10"/>
    </font>
    <font>
      <name val="Arial"/>
      <b val="1"/>
      <color rgb="00FFFFFF"/>
    </font>
    <font>
      <name val="Arial"/>
      <b val="1"/>
    </font>
    <font>
      <name val="Arial"/>
    </font>
    <font>
      <name val="Arial"/>
      <color rgb="000000FF"/>
    </font>
    <font>
      <name val="Arial"/>
      <color rgb="00666666"/>
      <sz val="9"/>
    </font>
    <font>
      <name val="Arial"/>
      <i val="1"/>
      <color rgb="00666666"/>
      <sz val="9"/>
    </font>
    <font>
      <name val="Arial"/>
      <b val="1"/>
      <color rgb="00CC1923"/>
      <sz val="9"/>
    </font>
    <font>
      <name val="Arial"/>
      <b val="1"/>
      <color rgb="00CC1923"/>
      <sz val="16"/>
    </font>
    <font>
      <name val="Arial"/>
      <b val="1"/>
      <sz val="9"/>
    </font>
    <font>
      <name val="Arial"/>
      <b val="1"/>
      <color rgb="001E7B34"/>
    </font>
  </fonts>
  <fills count="7">
    <fill>
      <patternFill/>
    </fill>
    <fill>
      <patternFill patternType="gray125"/>
    </fill>
    <fill>
      <patternFill patternType="solid">
        <fgColor rgb="00111111"/>
      </patternFill>
    </fill>
    <fill>
      <patternFill patternType="solid">
        <fgColor rgb="00FFFF99"/>
      </patternFill>
    </fill>
    <fill>
      <patternFill patternType="solid">
        <fgColor rgb="00CC1923"/>
      </patternFill>
    </fill>
    <fill>
      <patternFill patternType="solid">
        <fgColor rgb="00444444"/>
      </patternFill>
    </fill>
    <fill>
      <patternFill patternType="solid">
        <fgColor rgb="00F0EEEA"/>
      </patternFill>
    </fill>
  </fills>
  <borders count="4">
    <border>
      <left/>
      <right/>
      <top/>
      <bottom/>
      <diagonal/>
    </border>
    <border>
      <bottom style="thin">
        <color rgb="00BFBFBF"/>
      </bottom>
    </border>
    <border>
      <top style="thin">
        <color rgb="00111111"/>
      </top>
      <bottom style="thin">
        <color rgb="00BFBFBF"/>
      </bottom>
    </border>
    <border>
      <left style="medium">
        <color rgb="00FFFFFF"/>
      </left>
    </border>
  </borders>
  <cellStyleXfs count="1">
    <xf numFmtId="0" fontId="0" fillId="0" borderId="0"/>
  </cellStyleXfs>
  <cellXfs count="6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pivotButton="0" quotePrefix="0" xfId="0"/>
    <xf numFmtId="0" fontId="0" fillId="2" borderId="0" pivotButton="0" quotePrefix="0" xfId="0"/>
    <xf numFmtId="0" fontId="5" fillId="0" borderId="0" applyAlignment="1" pivotButton="0" quotePrefix="0" xfId="0">
      <alignment vertical="top"/>
    </xf>
    <xf numFmtId="0" fontId="6" fillId="0" borderId="0" applyAlignment="1" pivotButton="0" quotePrefix="0" xfId="0">
      <alignment vertical="top" wrapText="1"/>
    </xf>
    <xf numFmtId="0" fontId="7" fillId="3" borderId="0" applyAlignment="1" pivotButton="0" quotePrefix="0" xfId="0">
      <alignment horizontal="center"/>
    </xf>
    <xf numFmtId="0" fontId="6" fillId="0" borderId="0" pivotButton="0" quotePrefix="0" xfId="0"/>
    <xf numFmtId="0" fontId="6" fillId="0" borderId="0" applyAlignment="1" pivotButton="0" quotePrefix="0" xfId="0">
      <alignment horizontal="center"/>
    </xf>
    <xf numFmtId="0" fontId="4" fillId="4" borderId="0" applyAlignment="1" pivotButton="0" quotePrefix="0" xfId="0">
      <alignment horizontal="center"/>
    </xf>
    <xf numFmtId="0" fontId="6" fillId="0" borderId="1" applyAlignment="1" pivotButton="0" quotePrefix="0" xfId="0">
      <alignment vertical="top"/>
    </xf>
    <xf numFmtId="0" fontId="7" fillId="3" borderId="1" applyAlignment="1" pivotButton="0" quotePrefix="0" xfId="0">
      <alignment horizontal="left" vertical="top"/>
    </xf>
    <xf numFmtId="0" fontId="8" fillId="0" borderId="1" applyAlignment="1" pivotButton="0" quotePrefix="0" xfId="0">
      <alignment vertical="top" wrapText="1"/>
    </xf>
    <xf numFmtId="165" fontId="7" fillId="3" borderId="1" applyAlignment="1" pivotButton="0" quotePrefix="0" xfId="0">
      <alignment horizontal="left" vertical="top"/>
    </xf>
    <xf numFmtId="0" fontId="9" fillId="0" borderId="0" pivotButton="0" quotePrefix="0" xfId="0"/>
    <xf numFmtId="0" fontId="10" fillId="0" borderId="0" pivotButton="0" quotePrefix="0" xfId="0"/>
    <xf numFmtId="0" fontId="11" fillId="0" borderId="0" pivotButton="0" quotePrefix="0" xfId="0"/>
    <xf numFmtId="0" fontId="8" fillId="0" borderId="0" pivotButton="0" quotePrefix="0" xfId="0"/>
    <xf numFmtId="0" fontId="13" fillId="0" borderId="0" pivotButton="0" quotePrefix="0" xfId="0"/>
    <xf numFmtId="0" fontId="4" fillId="2" borderId="0" applyAlignment="1" pivotButton="0" quotePrefix="0" xfId="0">
      <alignment horizontal="center" vertical="center" wrapText="1"/>
    </xf>
    <xf numFmtId="165" fontId="8" fillId="0" borderId="0" applyAlignment="1" pivotButton="0" quotePrefix="0" xfId="0">
      <alignment horizontal="center"/>
    </xf>
    <xf numFmtId="0" fontId="6" fillId="0" borderId="1" pivotButton="0" quotePrefix="0" xfId="0"/>
    <xf numFmtId="166" fontId="6" fillId="0" borderId="1" pivotButton="0" quotePrefix="0" xfId="0"/>
    <xf numFmtId="0" fontId="5" fillId="6" borderId="2" pivotButton="0" quotePrefix="0" xfId="0"/>
    <xf numFmtId="166" fontId="5" fillId="6" borderId="2" pivotButton="0" quotePrefix="0" xfId="0"/>
    <xf numFmtId="0" fontId="5" fillId="0" borderId="1" pivotButton="0" quotePrefix="0" xfId="0"/>
    <xf numFmtId="166" fontId="5" fillId="0" borderId="1" pivotButton="0" quotePrefix="0" xfId="0"/>
    <xf numFmtId="0" fontId="8" fillId="0" borderId="1" pivotButton="0" quotePrefix="0" xfId="0"/>
    <xf numFmtId="0" fontId="12" fillId="0" borderId="1" applyAlignment="1" pivotButton="0" quotePrefix="0" xfId="0">
      <alignment horizontal="center"/>
    </xf>
    <xf numFmtId="166" fontId="0" fillId="0" borderId="1" pivotButton="0" quotePrefix="0" xfId="0"/>
    <xf numFmtId="0" fontId="5" fillId="0" borderId="0" pivotButton="0" quotePrefix="0" xfId="0"/>
    <xf numFmtId="165" fontId="6" fillId="0" borderId="0" applyAlignment="1" pivotButton="0" quotePrefix="0" xfId="0">
      <alignment horizontal="left"/>
    </xf>
    <xf numFmtId="0" fontId="4" fillId="5" borderId="0" applyAlignment="1" pivotButton="0" quotePrefix="0" xfId="0">
      <alignment horizontal="center" vertical="center" wrapText="1"/>
    </xf>
    <xf numFmtId="0" fontId="7" fillId="3" borderId="1" pivotButton="0" quotePrefix="0" xfId="0"/>
    <xf numFmtId="165" fontId="7" fillId="3" borderId="1" pivotButton="0" quotePrefix="0" xfId="0"/>
    <xf numFmtId="166" fontId="7" fillId="3" borderId="1" pivotButton="0" quotePrefix="0" xfId="0"/>
    <xf numFmtId="167" fontId="7" fillId="3" borderId="1" pivotButton="0" quotePrefix="0" xfId="0"/>
    <xf numFmtId="168" fontId="6" fillId="0" borderId="1" pivotButton="0" quotePrefix="0" xfId="0"/>
    <xf numFmtId="169" fontId="6" fillId="0" borderId="1" applyAlignment="1" pivotButton="0" quotePrefix="0" xfId="0">
      <alignment horizontal="center"/>
    </xf>
    <xf numFmtId="0" fontId="6" fillId="0" borderId="1" applyAlignment="1" pivotButton="0" quotePrefix="0" xfId="0">
      <alignment horizontal="center"/>
    </xf>
    <xf numFmtId="0" fontId="5" fillId="6" borderId="2" applyAlignment="1" pivotButton="0" quotePrefix="0" xfId="0">
      <alignment horizontal="center"/>
    </xf>
    <xf numFmtId="0" fontId="4" fillId="2" borderId="3" applyAlignment="1" pivotButton="0" quotePrefix="0" xfId="0">
      <alignment horizontal="center" vertical="center" wrapText="1"/>
    </xf>
    <xf numFmtId="170" fontId="8" fillId="0" borderId="1" applyAlignment="1" pivotButton="0" quotePrefix="0" xfId="0">
      <alignment horizontal="center"/>
    </xf>
    <xf numFmtId="170" fontId="8" fillId="0" borderId="3" applyAlignment="1" pivotButton="0" quotePrefix="0" xfId="0">
      <alignment horizontal="center"/>
    </xf>
    <xf numFmtId="0" fontId="0" fillId="0" borderId="1" pivotButton="0" quotePrefix="0" xfId="0"/>
    <xf numFmtId="0" fontId="7" fillId="3" borderId="1" applyAlignment="1" pivotButton="0" quotePrefix="0" xfId="0">
      <alignment horizontal="right"/>
    </xf>
    <xf numFmtId="168" fontId="5" fillId="0" borderId="1" applyAlignment="1" pivotButton="0" quotePrefix="0" xfId="0">
      <alignment horizontal="right"/>
    </xf>
    <xf numFmtId="166" fontId="7" fillId="3" borderId="1" applyAlignment="1" pivotButton="0" quotePrefix="0" xfId="0">
      <alignment horizontal="right"/>
    </xf>
    <xf numFmtId="165" fontId="5" fillId="0" borderId="1" applyAlignment="1" pivotButton="0" quotePrefix="0" xfId="0">
      <alignment horizontal="right"/>
    </xf>
    <xf numFmtId="0" fontId="9" fillId="0" borderId="0" applyAlignment="1" pivotButton="0" quotePrefix="0" xfId="0">
      <alignment vertical="top" wrapText="1"/>
    </xf>
    <xf numFmtId="171" fontId="7" fillId="3" borderId="1" applyAlignment="1" pivotButton="0" quotePrefix="0" xfId="0">
      <alignment horizontal="right"/>
    </xf>
    <xf numFmtId="1" fontId="7" fillId="3" borderId="1" applyAlignment="1" pivotButton="0" quotePrefix="0" xfId="0">
      <alignment horizontal="right"/>
    </xf>
    <xf numFmtId="166" fontId="5" fillId="0" borderId="1" applyAlignment="1" pivotButton="0" quotePrefix="0" xfId="0">
      <alignment horizontal="right"/>
    </xf>
    <xf numFmtId="165" fontId="7" fillId="3" borderId="1" applyAlignment="1" pivotButton="0" quotePrefix="0" xfId="0">
      <alignment horizontal="right"/>
    </xf>
    <xf numFmtId="165" fontId="6" fillId="0" borderId="1" pivotButton="0" quotePrefix="0" xfId="0"/>
    <xf numFmtId="0" fontId="8" fillId="0" borderId="1" applyAlignment="1" pivotButton="0" quotePrefix="0" xfId="0">
      <alignment horizontal="center"/>
    </xf>
    <xf numFmtId="165" fontId="6" fillId="0" borderId="1" applyAlignment="1" pivotButton="0" quotePrefix="0" xfId="0">
      <alignment horizontal="center"/>
    </xf>
    <xf numFmtId="0" fontId="12" fillId="0" borderId="0" applyAlignment="1" pivotButton="0" quotePrefix="0" xfId="0">
      <alignment horizontal="right"/>
    </xf>
    <xf numFmtId="0" fontId="12" fillId="0" borderId="0" pivotButton="0" quotePrefix="0" xfId="0"/>
  </cellXfs>
  <cellStyles count="1">
    <cellStyle name="Normal" xfId="0" builtinId="0" hidden="0"/>
  </cellStyles>
  <dxfs count="3">
    <dxf>
      <font>
        <name val="Arial"/>
        <b val="1"/>
        <color rgb="00FFFFFF"/>
      </font>
      <fill>
        <patternFill patternType="solid">
          <fgColor rgb="00CC1923"/>
        </patternFill>
      </fill>
    </dxf>
    <dxf>
      <font>
        <name val="Arial"/>
        <color rgb="001E7B34"/>
      </font>
    </dxf>
    <dxf>
      <font>
        <name val="Arial"/>
        <b val="1"/>
        <color rgb="00CC1923"/>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Depreciation charge and NBV at year end</a:t>
            </a:r>
          </a:p>
        </rich>
      </tx>
    </title>
    <plotArea>
      <barChart>
        <barDir val="col"/>
        <grouping val="clustered"/>
        <ser>
          <idx val="0"/>
          <order val="0"/>
          <tx>
            <strRef>
              <f>'5-year summary'!B11</f>
            </strRef>
          </tx>
          <spPr>
            <a:solidFill xmlns:a="http://schemas.openxmlformats.org/drawingml/2006/main">
              <a:srgbClr val="CC1923"/>
            </a:solidFill>
            <a:ln xmlns:a="http://schemas.openxmlformats.org/drawingml/2006/main">
              <a:prstDash val="solid"/>
            </a:ln>
          </spPr>
          <cat>
            <numRef>
              <f>'5-year summary'!$C$5:$G$5</f>
            </numRef>
          </cat>
          <val>
            <numRef>
              <f>'5-year summary'!$C$11:$G$11</f>
            </numRef>
          </val>
        </ser>
        <ser>
          <idx val="1"/>
          <order val="1"/>
          <tx>
            <strRef>
              <f>'5-year summary'!B13</f>
            </strRef>
          </tx>
          <spPr>
            <a:solidFill xmlns:a="http://schemas.openxmlformats.org/drawingml/2006/main">
              <a:srgbClr val="111111"/>
            </a:solidFill>
            <a:ln xmlns:a="http://schemas.openxmlformats.org/drawingml/2006/main">
              <a:prstDash val="solid"/>
            </a:ln>
          </spPr>
          <cat>
            <numRef>
              <f>'5-year summary'!$C$5:$G$5</f>
            </numRef>
          </cat>
          <val>
            <numRef>
              <f>'5-year summary'!$C$13:$G$13</f>
            </numRef>
          </val>
        </ser>
        <gapWidth val="150"/>
        <axId val="10"/>
        <axId val="100"/>
      </barChart>
      <catAx>
        <axId val="10"/>
        <scaling>
          <orientation val="minMax"/>
        </scaling>
        <delete val="0"/>
        <axPos val="l"/>
        <majorTickMark val="none"/>
        <minorTickMark val="none"/>
        <crossAx val="100"/>
        <lblOffset val="100"/>
      </catAx>
      <valAx>
        <axId val="100"/>
        <scaling>
          <orientation val="minMax"/>
        </scaling>
        <delete val="0"/>
        <axPos val="l"/>
        <numFmt formatCode="#,##0" sourceLinked="0"/>
        <majorTickMark val="none"/>
        <minorTickMark val="none"/>
        <crossAx val="10"/>
      </valAx>
    </plotArea>
    <legend>
      <legendPos val="b"/>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Loan balance at year end</a:t>
            </a:r>
          </a:p>
        </rich>
      </tx>
    </title>
    <plotArea>
      <barChart>
        <barDir val="col"/>
        <grouping val="clustered"/>
        <ser>
          <idx val="0"/>
          <order val="0"/>
          <tx>
            <strRef>
              <f>'Loan schedule'!L22</f>
            </strRef>
          </tx>
          <spPr>
            <a:solidFill xmlns:a="http://schemas.openxmlformats.org/drawingml/2006/main">
              <a:srgbClr val="111111"/>
            </a:solidFill>
            <a:ln xmlns:a="http://schemas.openxmlformats.org/drawingml/2006/main">
              <a:prstDash val="solid"/>
            </a:ln>
          </spPr>
          <cat>
            <numRef>
              <f>'Loan schedule'!$J$23:$J$32</f>
            </numRef>
          </cat>
          <val>
            <numRef>
              <f>'Loan schedule'!$L$23:$L$32</f>
            </numRef>
          </val>
        </ser>
        <gapWidth val="150"/>
        <axId val="10"/>
        <axId val="100"/>
      </barChart>
      <catAx>
        <axId val="10"/>
        <scaling>
          <orientation val="minMax"/>
        </scaling>
        <delete val="0"/>
        <axPos val="l"/>
        <majorTickMark val="none"/>
        <minorTickMark val="none"/>
        <crossAx val="100"/>
        <lblOffset val="100"/>
      </catAx>
      <valAx>
        <axId val="100"/>
        <scaling>
          <orientation val="minMax"/>
        </scaling>
        <delete val="0"/>
        <axPos val="l"/>
        <numFmt formatCode="#,##0" sourceLinked="0"/>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_rels/drawing2.xml.rels><Relationships xmlns="http://schemas.openxmlformats.org/package/2006/relationships"><Relationship Type="http://schemas.openxmlformats.org/officeDocument/2006/relationships/chart" Target="/xl/charts/chart2.xml" Id="rId1"/></Relationships>
</file>

<file path=xl/drawings/drawing1.xml><?xml version="1.0" encoding="utf-8"?>
<wsDr xmlns="http://schemas.openxmlformats.org/drawingml/2006/spreadsheetDrawing">
  <oneCellAnchor>
    <from>
      <col>1</col>
      <colOff>0</colOff>
      <row>31</row>
      <rowOff>0</rowOff>
    </from>
    <ext cx="576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2.xml><?xml version="1.0" encoding="utf-8"?>
<wsDr xmlns="http://schemas.openxmlformats.org/drawingml/2006/spreadsheetDrawing">
  <oneCellAnchor>
    <from>
      <col>9</col>
      <colOff>0</colOff>
      <row>35</row>
      <rowOff>0</rowOff>
    </from>
    <ext cx="5040000" cy="23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_rels/sheet5.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A1:D32"/>
  <sheetViews>
    <sheetView showGridLines="0" workbookViewId="0">
      <selection activeCell="A1" sqref="A1"/>
    </sheetView>
  </sheetViews>
  <sheetFormatPr baseColWidth="8" defaultRowHeight="15"/>
  <cols>
    <col width="2" customWidth="1" min="1" max="1"/>
    <col width="34" customWidth="1" min="2" max="2"/>
    <col width="22" customWidth="1" min="3" max="3"/>
    <col width="62" customWidth="1" min="4" max="4"/>
    <col width="2" customWidth="1" min="5" max="5"/>
  </cols>
  <sheetData>
    <row r="1" ht="28" customHeight="1">
      <c r="B1" s="1" t="inlineStr">
        <is>
          <t>Fixed Assets, Depreciation &amp; Loan</t>
        </is>
      </c>
    </row>
    <row r="2">
      <c r="B2" s="2" t="inlineStr">
        <is>
          <t>Axcell Financial Consulting</t>
        </is>
      </c>
    </row>
    <row r="3">
      <c r="B3" s="3" t="inlineStr">
        <is>
          <t>Keep your asset register, 5-year depreciation and loan repayments in one place</t>
        </is>
      </c>
    </row>
    <row r="5">
      <c r="B5" s="4" t="inlineStr">
        <is>
          <t>How to use it (about 10 minutes)</t>
        </is>
      </c>
      <c r="C5" s="5" t="n"/>
      <c r="D5" s="5" t="n"/>
    </row>
    <row r="6" ht="30" customHeight="1">
      <c r="B6" s="6" t="inlineStr">
        <is>
          <t>Step 1</t>
        </is>
      </c>
      <c r="C6" s="7" t="inlineStr">
        <is>
          <t>Fill 'Your settings' below: company name, currency label and the first day of Year 1 (the start of your financial year). The five years of the schedule follow from it.</t>
        </is>
      </c>
    </row>
    <row r="7" ht="30" customHeight="1">
      <c r="B7" s="6" t="inlineStr">
        <is>
          <t>Step 2</t>
        </is>
      </c>
      <c r="C7" s="7" t="inlineStr">
        <is>
          <t>On 'Asset register', enter one row per asset: in-service date (when it started to be used), cost, residual value (expected value at the end of its life) and useful life in years.</t>
        </is>
      </c>
    </row>
    <row r="8" ht="43.5" customHeight="1">
      <c r="B8" s="6" t="inlineStr">
        <is>
          <t>Step 3</t>
        </is>
      </c>
      <c r="C8" s="7" t="inlineStr">
        <is>
          <t>Read '5-year summary' and 'Depreciation by asset': depreciation charge, accumulated depreciation and net book value (NBV) for each year. Depreciation stops automatically at the end of each asset's life.</t>
        </is>
      </c>
    </row>
    <row r="9" ht="43.5" customHeight="1">
      <c r="B9" s="6" t="inlineStr">
        <is>
          <t>Step 4</t>
        </is>
      </c>
      <c r="C9" s="7" t="inlineStr">
        <is>
          <t>On 'Loan schedule', enter the loan amount, annual interest rate, term in months and drawdown date. The monthly payment, interest/principal split and balance are calculated, with an annual summary by financial year.</t>
        </is>
      </c>
    </row>
    <row r="10" ht="30" customHeight="1">
      <c r="B10" s="6" t="inlineStr">
        <is>
          <t>Step 5</t>
        </is>
      </c>
      <c r="C10" s="7" t="inlineStr">
        <is>
          <t>Fix anything flagged red (missing date, residual above cost and so on) and roll the schedule forward each year by changing the Year 1 start date.</t>
        </is>
      </c>
    </row>
    <row r="11"/>
    <row r="12">
      <c r="B12" s="4" t="inlineStr">
        <is>
          <t>Colour legend</t>
        </is>
      </c>
      <c r="C12" s="5" t="n"/>
      <c r="D12" s="5" t="n"/>
    </row>
    <row r="13">
      <c r="B13" s="8" t="inlineStr">
        <is>
          <t>1,250</t>
        </is>
      </c>
      <c r="C13" s="9" t="inlineStr">
        <is>
          <t>Input: blue text on light-yellow. Type your own numbers here.</t>
        </is>
      </c>
    </row>
    <row r="14">
      <c r="B14" s="10" t="inlineStr">
        <is>
          <t>1,250</t>
        </is>
      </c>
      <c r="C14" s="9" t="inlineStr">
        <is>
          <t>Formula: black text. Calculated for you, do not overwrite.</t>
        </is>
      </c>
    </row>
    <row r="15">
      <c r="B15" s="10" t="inlineStr">
        <is>
          <t>(1,250)</t>
        </is>
      </c>
      <c r="C15" s="9" t="inlineStr">
        <is>
          <t>Brackets mean a negative number (a loss, an outflow or a shortfall).</t>
        </is>
      </c>
    </row>
    <row r="16" ht="30" customHeight="1">
      <c r="B16" s="11" t="inlineStr">
        <is>
          <t>CHECK</t>
        </is>
      </c>
      <c r="C16" s="7" t="inlineStr">
        <is>
          <t>Something needs your attention on that row, e.g. a missing in-service date or a residual value above cost.</t>
        </is>
      </c>
    </row>
    <row r="17"/>
    <row r="18">
      <c r="B18" s="4" t="inlineStr">
        <is>
          <t>Your settings</t>
        </is>
      </c>
      <c r="C18" s="5" t="n"/>
      <c r="D18" s="5" t="n"/>
    </row>
    <row r="19">
      <c r="B19" s="12" t="inlineStr">
        <is>
          <t>Company name</t>
        </is>
      </c>
      <c r="C19" s="13" t="inlineStr">
        <is>
          <t>Example Mfg Co.</t>
        </is>
      </c>
      <c r="D19" s="14" t="inlineStr">
        <is>
          <t>Shown on every sheet.</t>
        </is>
      </c>
    </row>
    <row r="20">
      <c r="B20" s="12" t="inlineStr">
        <is>
          <t>Currency (label only)</t>
        </is>
      </c>
      <c r="C20" s="13" t="inlineStr">
        <is>
          <t>Your currency</t>
        </is>
      </c>
      <c r="D20" s="14" t="inlineStr">
        <is>
          <t>A label only. No conversion is done.</t>
        </is>
      </c>
    </row>
    <row r="21" ht="30" customHeight="1">
      <c r="B21" s="12" t="inlineStr">
        <is>
          <t>First day of Year 1</t>
        </is>
      </c>
      <c r="C21" s="15" t="n">
        <v>46023</v>
      </c>
      <c r="D21" s="14" t="inlineStr">
        <is>
          <t>Start of your first financial year in the schedule, e.g. 1 January 2026. Years 2-5 follow on, 12 months each.</t>
        </is>
      </c>
    </row>
    <row r="22"/>
    <row r="23">
      <c r="B23" s="4" t="inlineStr">
        <is>
          <t>Good to know</t>
        </is>
      </c>
      <c r="C23" s="5" t="n"/>
      <c r="D23" s="5" t="n"/>
    </row>
    <row r="24" ht="43.5" customHeight="1">
      <c r="B24" s="7" t="inlineStr">
        <is>
          <t>• Method: straight-line. Monthly depreciation = (cost − residual value) ÷ (useful life in years × 12). It starts in the month the asset goes into service (a full month is charged for that month) and stops when the useful life ends, so an asset is never depreciated below its residual value.</t>
        </is>
      </c>
    </row>
    <row r="25" ht="30" customHeight="1">
      <c r="B25" s="7" t="inlineStr">
        <is>
          <t>• Useful lives and residual values are your accounting estimates; review them at least once a year. Tax depreciation rules can differ from accounting depreciation: check the rules that apply in your country with your tax adviser or tax authority.</t>
        </is>
      </c>
    </row>
    <row r="26" ht="30" customHeight="1">
      <c r="B26" s="7" t="inlineStr">
        <is>
          <t>• Land is normally not depreciated: enter a useful life of 0 and it stays at cost.</t>
        </is>
      </c>
    </row>
    <row r="27" ht="30" customHeight="1">
      <c r="B27" s="7" t="inlineStr">
        <is>
          <t>• Assets bought before Year 1 are handled automatically: depreciation already charged before Year 1 is shown as accumulated depreciation at the start of Year 1.</t>
        </is>
      </c>
    </row>
    <row r="28" ht="30" customHeight="1">
      <c r="B28" s="7" t="inlineStr">
        <is>
          <t>• Disposals are not modelled. When you sell or scrap an asset, delete its row (or keep a copy of the file for your records).</t>
        </is>
      </c>
    </row>
    <row r="29" ht="30" customHeight="1">
      <c r="B29" s="7" t="inlineStr">
        <is>
          <t>• Loan: the schedule assumes equal monthly payments (annuity), interest charged monthly at the annual rate ÷ 12, and the first payment one month after drawdown. Your bank's statement is the final word; fees and day-count conventions can make small differences.</t>
        </is>
      </c>
    </row>
    <row r="30"/>
    <row r="31">
      <c r="B31" s="16" t="inlineStr">
        <is>
          <t>Illustrative tool for decision support, not financial, tax or legal advice. The example figures are made up for illustration.</t>
        </is>
      </c>
    </row>
    <row r="32" ht="43.5" customHeight="1">
      <c r="B32" s="17" t="inlineStr">
        <is>
          <t>axcellservice.com · Free template · Book a free 30-minute consultation: axcellservice.com/contact</t>
        </is>
      </c>
    </row>
  </sheetData>
  <mergeCells count="16">
    <mergeCell ref="B28:D28"/>
    <mergeCell ref="C6:D6"/>
    <mergeCell ref="C10:D10"/>
    <mergeCell ref="C7:D7"/>
    <mergeCell ref="C16:D16"/>
    <mergeCell ref="C15:D15"/>
    <mergeCell ref="B31:D31"/>
    <mergeCell ref="B26:D26"/>
    <mergeCell ref="B27:D27"/>
    <mergeCell ref="C14:D14"/>
    <mergeCell ref="C13:D13"/>
    <mergeCell ref="C9:D9"/>
    <mergeCell ref="B29:D29"/>
    <mergeCell ref="B25:D25"/>
    <mergeCell ref="B24:D24"/>
    <mergeCell ref="C8:D8"/>
  </mergeCells>
  <dataValidations count="1">
    <dataValidation sqref="C21" showDropDown="0" showInputMessage="0" showErrorMessage="1" allowBlank="0" errorTitle="Date needed" error="Enter a date, e.g. 01/01/2026." type="date" operator="greaterThan">
      <formula1>36526</formula1>
    </dataValidation>
  </dataValidations>
  <printOptions horizontalCentered="1"/>
  <pageMargins left="0.4" right="0.4" top="1" bottom="1" header="0.5" footer="0.5"/>
  <pageSetup orientation="portrait" paperSize="9" fitToHeight="0" fitToWidth="1"/>
  <headerFooter>
    <oddHeader/>
    <oddFooter>&amp;L&amp;8 Axcell Financial Consulting · axcellservice.com · Free template&amp;R&amp;8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B1:G48"/>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2" customWidth="1" min="1" max="1"/>
    <col width="44" customWidth="1" min="2" max="2"/>
    <col width="14" customWidth="1" min="3" max="3"/>
    <col width="14" customWidth="1" min="4" max="4"/>
    <col width="14" customWidth="1" min="5" max="5"/>
    <col width="14" customWidth="1" min="6" max="6"/>
    <col width="14" customWidth="1" min="7" max="7"/>
  </cols>
  <sheetData>
    <row r="1" ht="26" customHeight="1">
      <c r="B1" s="18" t="inlineStr">
        <is>
          <t>Fixed assets: 5-year summary</t>
        </is>
      </c>
    </row>
    <row r="2">
      <c r="B2" s="19" t="str">
        <f>"Axcell Financial Consulting · "&amp;'Start here'!$C$19&amp;" · all amounts in "&amp;'Start here'!$C$20</f>
        <v>Axcell Financial Consulting · Example Mfg Co. · all amounts in Your currency</v>
      </c>
    </row>
    <row r="3">
      <c r="B3" s="20" t="str">
        <f>IF(AND(COUNTIF(C14:G14,"OK")=5,COUNTIF('Asset register'!O7:O36,"CHECK*")=0,'Loan schedule'!G134="OK"),"Status: all checks OK.","Status: something needs a check. See red cells here, on the Asset register and on the Loan schedule.")</f>
        <v>Status: all checks OK.</v>
      </c>
    </row>
    <row r="5">
      <c r="B5" s="21" t="inlineStr">
        <is>
          <t>Fixed assets roll-forward</t>
        </is>
      </c>
      <c r="C5" s="21" t="inlineStr">
        <is>
          <t>Year 1</t>
        </is>
      </c>
      <c r="D5" s="21" t="inlineStr">
        <is>
          <t>Year 2</t>
        </is>
      </c>
      <c r="E5" s="21" t="inlineStr">
        <is>
          <t>Year 3</t>
        </is>
      </c>
      <c r="F5" s="21" t="inlineStr">
        <is>
          <t>Year 4</t>
        </is>
      </c>
      <c r="G5" s="21" t="inlineStr">
        <is>
          <t>Year 5</t>
        </is>
      </c>
    </row>
    <row r="6">
      <c r="B6" s="19" t="inlineStr">
        <is>
          <t>Year ends</t>
        </is>
      </c>
      <c r="C6" s="22">
        <f>'Depreciation by asset'!D7</f>
        <v>46387.0</v>
      </c>
      <c r="D6" s="22">
        <f>'Depreciation by asset'!E7</f>
        <v>46752.0</v>
      </c>
      <c r="E6" s="22">
        <f>'Depreciation by asset'!F7</f>
        <v>47118.0</v>
      </c>
      <c r="F6" s="22">
        <f>'Depreciation by asset'!G7</f>
        <v>47483.0</v>
      </c>
      <c r="G6" s="22">
        <f>'Depreciation by asset'!H7</f>
        <v>47848.0</v>
      </c>
    </row>
    <row r="7">
      <c r="B7" s="23" t="inlineStr">
        <is>
          <t>Cost at start of year</t>
        </is>
      </c>
      <c r="C7" s="24">
        <f>SUMIFS('Asset register'!$F$7:$F$36,'Asset register'!$E$7:$E$36,"&lt;"&amp;EDATE('Start here'!$C$21,0))</f>
        <v>1220000</v>
      </c>
      <c r="D7" s="24">
        <f>SUMIFS('Asset register'!$F$7:$F$36,'Asset register'!$E$7:$E$36,"&lt;"&amp;EDATE('Start here'!$C$21,12))</f>
        <v>1385000</v>
      </c>
      <c r="E7" s="24">
        <f>SUMIFS('Asset register'!$F$7:$F$36,'Asset register'!$E$7:$E$36,"&lt;"&amp;EDATE('Start here'!$C$21,24))</f>
        <v>1465000</v>
      </c>
      <c r="F7" s="24">
        <f>SUMIFS('Asset register'!$F$7:$F$36,'Asset register'!$E$7:$E$36,"&lt;"&amp;EDATE('Start here'!$C$21,36))</f>
        <v>1465000</v>
      </c>
      <c r="G7" s="24">
        <f>SUMIFS('Asset register'!$F$7:$F$36,'Asset register'!$E$7:$E$36,"&lt;"&amp;EDATE('Start here'!$C$21,48))</f>
        <v>1465000</v>
      </c>
    </row>
    <row r="8">
      <c r="B8" s="23" t="inlineStr">
        <is>
          <t>Additions (assets put into service)</t>
        </is>
      </c>
      <c r="C8" s="24">
        <f>SUMIFS('Asset register'!$F$7:$F$36,'Asset register'!$E$7:$E$36,"&gt;="&amp;EDATE('Start here'!$C$21,0),'Asset register'!$E$7:$E$36,"&lt;="&amp;C$6)</f>
        <v>165000</v>
      </c>
      <c r="D8" s="24">
        <f>SUMIFS('Asset register'!$F$7:$F$36,'Asset register'!$E$7:$E$36,"&gt;="&amp;EDATE('Start here'!$C$21,12),'Asset register'!$E$7:$E$36,"&lt;="&amp;D$6)</f>
        <v>80000</v>
      </c>
      <c r="E8" s="24">
        <f>SUMIFS('Asset register'!$F$7:$F$36,'Asset register'!$E$7:$E$36,"&gt;="&amp;EDATE('Start here'!$C$21,24),'Asset register'!$E$7:$E$36,"&lt;="&amp;E$6)</f>
        <v>0</v>
      </c>
      <c r="F8" s="24">
        <f>SUMIFS('Asset register'!$F$7:$F$36,'Asset register'!$E$7:$E$36,"&gt;="&amp;EDATE('Start here'!$C$21,36),'Asset register'!$E$7:$E$36,"&lt;="&amp;F$6)</f>
        <v>0</v>
      </c>
      <c r="G8" s="24">
        <f>SUMIFS('Asset register'!$F$7:$F$36,'Asset register'!$E$7:$E$36,"&gt;="&amp;EDATE('Start here'!$C$21,48),'Asset register'!$E$7:$E$36,"&lt;="&amp;G$6)</f>
        <v>0</v>
      </c>
    </row>
    <row r="9">
      <c r="B9" s="25" t="inlineStr">
        <is>
          <t>Cost at end of year</t>
        </is>
      </c>
      <c r="C9" s="26">
        <f>C7+C8</f>
        <v>1385000</v>
      </c>
      <c r="D9" s="26">
        <f>D7+D8</f>
        <v>1465000</v>
      </c>
      <c r="E9" s="26">
        <f>E7+E8</f>
        <v>1465000</v>
      </c>
      <c r="F9" s="26">
        <f>F7+F8</f>
        <v>1465000</v>
      </c>
      <c r="G9" s="26">
        <f>G7+G8</f>
        <v>1465000</v>
      </c>
    </row>
    <row r="10">
      <c r="B10" s="23" t="inlineStr">
        <is>
          <t>Accumulated depreciation at start of year</t>
        </is>
      </c>
      <c r="C10" s="24">
        <f>'Asset register'!M37</f>
        <v>252476.388888889</v>
      </c>
      <c r="D10" s="24">
        <f>C12</f>
        <v>394151.388888889</v>
      </c>
      <c r="E10" s="24">
        <f>D12</f>
        <v>536376.388888889</v>
      </c>
      <c r="F10" s="24">
        <f>E12</f>
        <v>664795.833333333</v>
      </c>
      <c r="G10" s="24">
        <f>F12</f>
        <v>790020.833333333</v>
      </c>
    </row>
    <row r="11">
      <c r="B11" s="27" t="inlineStr">
        <is>
          <t>Depreciation charge for the year</t>
        </is>
      </c>
      <c r="C11" s="28">
        <f>'Depreciation by asset'!D38</f>
        <v>141675</v>
      </c>
      <c r="D11" s="28">
        <f>'Depreciation by asset'!E38</f>
        <v>142225</v>
      </c>
      <c r="E11" s="28">
        <f>'Depreciation by asset'!F38</f>
        <v>128419.444444444</v>
      </c>
      <c r="F11" s="28">
        <f>'Depreciation by asset'!G38</f>
        <v>125225</v>
      </c>
      <c r="G11" s="28">
        <f>'Depreciation by asset'!H38</f>
        <v>109975</v>
      </c>
    </row>
    <row r="12">
      <c r="B12" s="23" t="inlineStr">
        <is>
          <t>Accumulated depreciation at end of year</t>
        </is>
      </c>
      <c r="C12" s="24">
        <f>C10+C11</f>
        <v>394151.388888889</v>
      </c>
      <c r="D12" s="24">
        <f>D10+D11</f>
        <v>536376.388888889</v>
      </c>
      <c r="E12" s="24">
        <f>E10+E11</f>
        <v>664795.833333333</v>
      </c>
      <c r="F12" s="24">
        <f>F10+F11</f>
        <v>790020.833333333</v>
      </c>
      <c r="G12" s="24">
        <f>G10+G11</f>
        <v>899995.833333333</v>
      </c>
    </row>
    <row r="13">
      <c r="B13" s="25" t="inlineStr">
        <is>
          <t>Net book value (NBV) at end of year</t>
        </is>
      </c>
      <c r="C13" s="26">
        <f>'Depreciation by asset'!N38</f>
        <v>990848.611111111</v>
      </c>
      <c r="D13" s="26">
        <f>'Depreciation by asset'!O38</f>
        <v>928623.611111111</v>
      </c>
      <c r="E13" s="26">
        <f>'Depreciation by asset'!P38</f>
        <v>800204.166666667</v>
      </c>
      <c r="F13" s="26">
        <f>'Depreciation by asset'!Q38</f>
        <v>674979.166666667</v>
      </c>
      <c r="G13" s="26">
        <f>'Depreciation by asset'!R38</f>
        <v>565004.166666667</v>
      </c>
    </row>
    <row r="14">
      <c r="B14" s="29" t="inlineStr">
        <is>
          <t>Check: NBV start + additions − depreciation = NBV end</t>
        </is>
      </c>
      <c r="C14" s="30" t="str">
        <f>IF(AND(ROUND((C7-C10)+C8-C11-C13,2)=0,ROUND(C9-C12-C13,2)=0),"OK","CHECK")</f>
        <v>OK</v>
      </c>
      <c r="D14" s="30" t="str">
        <f>IF(AND(ROUND((D7-D10)+D8-D11-D13,2)=0,ROUND(D9-D12-D13,2)=0),"OK","CHECK")</f>
        <v>OK</v>
      </c>
      <c r="E14" s="30" t="str">
        <f>IF(AND(ROUND((E7-E10)+E8-E11-E13,2)=0,ROUND(E9-E12-E13,2)=0),"OK","CHECK")</f>
        <v>OK</v>
      </c>
      <c r="F14" s="30" t="str">
        <f>IF(AND(ROUND((F7-F10)+F8-F11-F13,2)=0,ROUND(F9-F12-F13,2)=0),"OK","CHECK")</f>
        <v>OK</v>
      </c>
      <c r="G14" s="30" t="str">
        <f>IF(AND(ROUND((G7-G10)+G8-G11-G13,2)=0,ROUND(G9-G12-G13,2)=0),"OK","CHECK")</f>
        <v>OK</v>
      </c>
    </row>
    <row r="16">
      <c r="B16" s="21" t="inlineStr">
        <is>
          <t>Depreciation charge by category</t>
        </is>
      </c>
      <c r="C16" s="21" t="inlineStr">
        <is>
          <t>Year 1</t>
        </is>
      </c>
      <c r="D16" s="21" t="inlineStr">
        <is>
          <t>Year 2</t>
        </is>
      </c>
      <c r="E16" s="21" t="inlineStr">
        <is>
          <t>Year 3</t>
        </is>
      </c>
      <c r="F16" s="21" t="inlineStr">
        <is>
          <t>Year 4</t>
        </is>
      </c>
      <c r="G16" s="21" t="inlineStr">
        <is>
          <t>Year 5</t>
        </is>
      </c>
    </row>
    <row r="17">
      <c r="B17" s="23" t="inlineStr">
        <is>
          <t>Land (not depreciated)</t>
        </is>
      </c>
      <c r="C17" s="31">
        <f>SUMIF('Asset register'!$D$7:$D$36,$B17,'Depreciation by asset'!$D$8:$D$37)</f>
        <v>0</v>
      </c>
      <c r="D17" s="31">
        <f>SUMIF('Asset register'!$D$7:$D$36,$B17,'Depreciation by asset'!$E$8:$E$37)</f>
        <v>0</v>
      </c>
      <c r="E17" s="31">
        <f>SUMIF('Asset register'!$D$7:$D$36,$B17,'Depreciation by asset'!$F$8:$F$37)</f>
        <v>0</v>
      </c>
      <c r="F17" s="31">
        <f>SUMIF('Asset register'!$D$7:$D$36,$B17,'Depreciation by asset'!$G$8:$G$37)</f>
        <v>0</v>
      </c>
      <c r="G17" s="31">
        <f>SUMIF('Asset register'!$D$7:$D$36,$B17,'Depreciation by asset'!$H$8:$H$37)</f>
        <v>0</v>
      </c>
    </row>
    <row r="18">
      <c r="B18" s="23" t="inlineStr">
        <is>
          <t>Buildings &amp; improvements</t>
        </is>
      </c>
      <c r="C18" s="31">
        <f>SUMIF('Asset register'!$D$7:$D$36,$B18,'Depreciation by asset'!$D$8:$D$37)</f>
        <v>18000</v>
      </c>
      <c r="D18" s="31">
        <f>SUMIF('Asset register'!$D$7:$D$36,$B18,'Depreciation by asset'!$E$8:$E$37)</f>
        <v>18000</v>
      </c>
      <c r="E18" s="31">
        <f>SUMIF('Asset register'!$D$7:$D$36,$B18,'Depreciation by asset'!$F$8:$F$37)</f>
        <v>18000</v>
      </c>
      <c r="F18" s="31">
        <f>SUMIF('Asset register'!$D$7:$D$36,$B18,'Depreciation by asset'!$G$8:$G$37)</f>
        <v>18000</v>
      </c>
      <c r="G18" s="31">
        <f>SUMIF('Asset register'!$D$7:$D$36,$B18,'Depreciation by asset'!$H$8:$H$37)</f>
        <v>18000</v>
      </c>
    </row>
    <row r="19">
      <c r="B19" s="23" t="inlineStr">
        <is>
          <t>Machinery &amp; equipment</t>
        </is>
      </c>
      <c r="C19" s="31">
        <f>SUMIF('Asset register'!$D$7:$D$36,$B19,'Depreciation by asset'!$D$8:$D$37)</f>
        <v>72225</v>
      </c>
      <c r="D19" s="31">
        <f>SUMIF('Asset register'!$D$7:$D$36,$B19,'Depreciation by asset'!$E$8:$E$37)</f>
        <v>57291.6666666667</v>
      </c>
      <c r="E19" s="31">
        <f>SUMIF('Asset register'!$D$7:$D$36,$B19,'Depreciation by asset'!$F$8:$F$37)</f>
        <v>58625</v>
      </c>
      <c r="F19" s="31">
        <f>SUMIF('Asset register'!$D$7:$D$36,$B19,'Depreciation by asset'!$G$8:$G$37)</f>
        <v>58625</v>
      </c>
      <c r="G19" s="31">
        <f>SUMIF('Asset register'!$D$7:$D$36,$B19,'Depreciation by asset'!$H$8:$H$37)</f>
        <v>58625</v>
      </c>
    </row>
    <row r="20">
      <c r="B20" s="23" t="inlineStr">
        <is>
          <t>Vehicles</t>
        </is>
      </c>
      <c r="C20" s="31">
        <f>SUMIF('Asset register'!$D$7:$D$36,$B20,'Depreciation by asset'!$D$8:$D$37)</f>
        <v>21866.6666666667</v>
      </c>
      <c r="D20" s="31">
        <f>SUMIF('Asset register'!$D$7:$D$36,$B20,'Depreciation by asset'!$E$8:$E$37)</f>
        <v>33600</v>
      </c>
      <c r="E20" s="31">
        <f>SUMIF('Asset register'!$D$7:$D$36,$B20,'Depreciation by asset'!$F$8:$F$37)</f>
        <v>33600</v>
      </c>
      <c r="F20" s="31">
        <f>SUMIF('Asset register'!$D$7:$D$36,$B20,'Depreciation by asset'!$G$8:$G$37)</f>
        <v>33600</v>
      </c>
      <c r="G20" s="31">
        <f>SUMIF('Asset register'!$D$7:$D$36,$B20,'Depreciation by asset'!$H$8:$H$37)</f>
        <v>29600</v>
      </c>
    </row>
    <row r="21">
      <c r="B21" s="23" t="inlineStr">
        <is>
          <t>Furniture &amp; fittings</t>
        </is>
      </c>
      <c r="C21" s="31">
        <f>SUMIF('Asset register'!$D$7:$D$36,$B21,'Depreciation by asset'!$D$8:$D$37)</f>
        <v>5000</v>
      </c>
      <c r="D21" s="31">
        <f>SUMIF('Asset register'!$D$7:$D$36,$B21,'Depreciation by asset'!$E$8:$E$37)</f>
        <v>5000</v>
      </c>
      <c r="E21" s="31">
        <f>SUMIF('Asset register'!$D$7:$D$36,$B21,'Depreciation by asset'!$F$8:$F$37)</f>
        <v>2083.33333333333</v>
      </c>
      <c r="F21" s="31">
        <f>SUMIF('Asset register'!$D$7:$D$36,$B21,'Depreciation by asset'!$G$8:$G$37)</f>
        <v>0</v>
      </c>
      <c r="G21" s="31">
        <f>SUMIF('Asset register'!$D$7:$D$36,$B21,'Depreciation by asset'!$H$8:$H$37)</f>
        <v>0</v>
      </c>
    </row>
    <row r="22">
      <c r="B22" s="23" t="inlineStr">
        <is>
          <t>IT equipment</t>
        </is>
      </c>
      <c r="C22" s="31">
        <f>SUMIF('Asset register'!$D$7:$D$36,$B22,'Depreciation by asset'!$D$8:$D$37)</f>
        <v>24583.3333333333</v>
      </c>
      <c r="D22" s="31">
        <f>SUMIF('Asset register'!$D$7:$D$36,$B22,'Depreciation by asset'!$E$8:$E$37)</f>
        <v>28333.3333333333</v>
      </c>
      <c r="E22" s="31">
        <f>SUMIF('Asset register'!$D$7:$D$36,$B22,'Depreciation by asset'!$F$8:$F$37)</f>
        <v>16111.1111111111</v>
      </c>
      <c r="F22" s="31">
        <f>SUMIF('Asset register'!$D$7:$D$36,$B22,'Depreciation by asset'!$G$8:$G$37)</f>
        <v>15000</v>
      </c>
      <c r="G22" s="31">
        <f>SUMIF('Asset register'!$D$7:$D$36,$B22,'Depreciation by asset'!$H$8:$H$37)</f>
        <v>3750</v>
      </c>
    </row>
    <row r="23">
      <c r="B23" s="23" t="inlineStr">
        <is>
          <t>Other</t>
        </is>
      </c>
      <c r="C23" s="31">
        <f>SUMIF('Asset register'!$D$7:$D$36,$B23,'Depreciation by asset'!$D$8:$D$37)</f>
        <v>0</v>
      </c>
      <c r="D23" s="31">
        <f>SUMIF('Asset register'!$D$7:$D$36,$B23,'Depreciation by asset'!$E$8:$E$37)</f>
        <v>0</v>
      </c>
      <c r="E23" s="31">
        <f>SUMIF('Asset register'!$D$7:$D$36,$B23,'Depreciation by asset'!$F$8:$F$37)</f>
        <v>0</v>
      </c>
      <c r="F23" s="31">
        <f>SUMIF('Asset register'!$D$7:$D$36,$B23,'Depreciation by asset'!$G$8:$G$37)</f>
        <v>0</v>
      </c>
      <c r="G23" s="31">
        <f>SUMIF('Asset register'!$D$7:$D$36,$B23,'Depreciation by asset'!$H$8:$H$37)</f>
        <v>0</v>
      </c>
    </row>
    <row r="24">
      <c r="B24" s="25" t="inlineStr">
        <is>
          <t>Total (check: equals depreciation charge above)</t>
        </is>
      </c>
      <c r="C24" s="26">
        <f>SUM(C17:C23)</f>
        <v>141675</v>
      </c>
      <c r="D24" s="26">
        <f>SUM(D17:D23)</f>
        <v>142225</v>
      </c>
      <c r="E24" s="26">
        <f>SUM(E17:E23)</f>
        <v>128419.444444444</v>
      </c>
      <c r="F24" s="26">
        <f>SUM(F17:F23)</f>
        <v>125225</v>
      </c>
      <c r="G24" s="26">
        <f>SUM(G17:G23)</f>
        <v>109975</v>
      </c>
    </row>
    <row r="26">
      <c r="B26" s="21" t="inlineStr">
        <is>
          <t>Charges to the profit &amp; loss from this workbook</t>
        </is>
      </c>
      <c r="C26" s="21" t="inlineStr">
        <is>
          <t>Year 1</t>
        </is>
      </c>
      <c r="D26" s="21" t="inlineStr">
        <is>
          <t>Year 2</t>
        </is>
      </c>
      <c r="E26" s="21" t="inlineStr">
        <is>
          <t>Year 3</t>
        </is>
      </c>
      <c r="F26" s="21" t="inlineStr">
        <is>
          <t>Year 4</t>
        </is>
      </c>
      <c r="G26" s="21" t="inlineStr">
        <is>
          <t>Year 5</t>
        </is>
      </c>
    </row>
    <row r="27">
      <c r="B27" s="23" t="inlineStr">
        <is>
          <t>Depreciation</t>
        </is>
      </c>
      <c r="C27" s="31">
        <f>C11</f>
        <v>141675</v>
      </c>
      <c r="D27" s="31">
        <f>D11</f>
        <v>142225</v>
      </c>
      <c r="E27" s="31">
        <f>E11</f>
        <v>128419.444444444</v>
      </c>
      <c r="F27" s="31">
        <f>F11</f>
        <v>125225</v>
      </c>
      <c r="G27" s="31">
        <f>G11</f>
        <v>109975</v>
      </c>
    </row>
    <row r="28">
      <c r="B28" s="23" t="inlineStr">
        <is>
          <t>Loan interest</t>
        </is>
      </c>
      <c r="C28" s="31">
        <f>'Loan schedule'!N10</f>
        <v>31361.4815722343</v>
      </c>
      <c r="D28" s="31">
        <f>'Loan schedule'!N11</f>
        <v>33024.9693319784</v>
      </c>
      <c r="E28" s="31">
        <f>'Loan schedule'!N12</f>
        <v>22116.6075096323</v>
      </c>
      <c r="F28" s="31">
        <f>'Loan schedule'!N13</f>
        <v>10184.9661060594</v>
      </c>
      <c r="G28" s="31">
        <f>'Loan schedule'!N14</f>
        <v>552.992454516517</v>
      </c>
    </row>
    <row r="29">
      <c r="B29" s="25" t="inlineStr">
        <is>
          <t>Total</t>
        </is>
      </c>
      <c r="C29" s="26">
        <f>C27+C28</f>
        <v>173036.481572234</v>
      </c>
      <c r="D29" s="26">
        <f>D27+D28</f>
        <v>175249.969331978</v>
      </c>
      <c r="E29" s="26">
        <f>E27+E28</f>
        <v>150536.051954077</v>
      </c>
      <c r="F29" s="26">
        <f>F27+F28</f>
        <v>135409.966106059</v>
      </c>
      <c r="G29" s="26">
        <f>G27+G28</f>
        <v>110527.992454517</v>
      </c>
    </row>
    <row r="30">
      <c r="B30" s="23" t="inlineStr">
        <is>
          <t>Loan balance at year end</t>
        </is>
      </c>
      <c r="C30" s="31">
        <f>'Loan schedule'!L23</f>
        <v>419378.79088953</v>
      </c>
      <c r="D30" s="31">
        <f>'Loan schedule'!L24</f>
        <v>303093.505977904</v>
      </c>
      <c r="E30" s="31">
        <f>'Loan schedule'!L25</f>
        <v>175899.859243931</v>
      </c>
      <c r="F30" s="31">
        <f>'Loan schedule'!L26</f>
        <v>36774.5711063848</v>
      </c>
      <c r="G30" s="31">
        <f>'Loan schedule'!L27</f>
        <v>0</v>
      </c>
    </row>
    <row r="47">
      <c r="B47" s="16" t="inlineStr">
        <is>
          <t>Example figures are made up for illustration. Not financial, tax or legal advice.</t>
        </is>
      </c>
    </row>
    <row r="48">
      <c r="B48" s="17" t="inlineStr">
        <is>
          <t>axcellservice.com · Free template · Book a free 30-minute consultation: axcellservice.com/contact</t>
        </is>
      </c>
    </row>
  </sheetData>
  <conditionalFormatting sqref="C14:G14">
    <cfRule type="expression" priority="1" dxfId="0">
      <formula>LEFT(C14,5)="CHECK"</formula>
    </cfRule>
    <cfRule type="cellIs" priority="2" operator="equal" dxfId="1">
      <formula>"OK"</formula>
    </cfRule>
  </conditionalFormatting>
  <conditionalFormatting sqref="B3">
    <cfRule type="expression" priority="3" dxfId="2">
      <formula>LEFT(B3,9)&lt;&gt;"Status: a"</formula>
    </cfRule>
  </conditionalFormatting>
  <printOptions horizontalCentered="1"/>
  <pageMargins left="0.4" right="0.4" top="1" bottom="1" header="0.5" footer="0.5"/>
  <pageSetup orientation="portrait" paperSize="9" fitToHeight="0" fitToWidth="1"/>
  <headerFooter>
    <oddHeader/>
    <oddFooter>&amp;L&amp;8 Axcell Financial Consulting · axcellservice.com · Free template&amp;R&amp;8 Page &amp;P of &amp;N</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1"/>
  </sheetPr>
  <dimension ref="B1:O40"/>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2" customWidth="1" min="1" max="1"/>
    <col width="9" customWidth="1" min="2" max="2"/>
    <col width="28" customWidth="1" min="3" max="3"/>
    <col width="20" customWidth="1" min="4" max="4"/>
    <col width="12" customWidth="1" min="5" max="5"/>
    <col width="12" customWidth="1" min="6" max="6"/>
    <col width="11" customWidth="1" min="7" max="7"/>
    <col width="9" customWidth="1" min="8" max="8"/>
    <col width="12" customWidth="1" min="9" max="9"/>
    <col width="11" customWidth="1" min="10" max="10"/>
    <col width="12" customWidth="1" min="11" max="11"/>
    <col width="12" customWidth="1" min="12" max="12"/>
    <col width="13" customWidth="1" min="13" max="13"/>
    <col width="12" customWidth="1" min="14" max="14"/>
    <col width="20" customWidth="1" min="15" max="15"/>
  </cols>
  <sheetData>
    <row r="1" ht="26" customHeight="1">
      <c r="B1" s="18" t="inlineStr">
        <is>
          <t>Fixed asset register</t>
        </is>
      </c>
    </row>
    <row r="2">
      <c r="B2" s="19" t="str">
        <f>"Axcell Financial Consulting · "&amp;'Start here'!$C$19&amp;" · all amounts in "&amp;'Start here'!$C$20</f>
        <v>Axcell Financial Consulting · Example Mfg Co. · all amounts in Your currency</v>
      </c>
    </row>
    <row r="4">
      <c r="B4" s="32" t="inlineStr">
        <is>
          <t>Year 1 starts</t>
        </is>
      </c>
      <c r="D4" s="33">
        <f>'Start here'!$C$21</f>
        <v>46023.0</v>
      </c>
      <c r="F4" s="16" t="inlineStr">
        <is>
          <t>Straight-line, full month in the month of first use, stops at the end of useful life.</t>
        </is>
      </c>
    </row>
    <row r="6" ht="46" customHeight="1">
      <c r="B6" s="21" t="inlineStr">
        <is>
          <t>Asset ID</t>
        </is>
      </c>
      <c r="C6" s="21" t="inlineStr">
        <is>
          <t>Asset description</t>
        </is>
      </c>
      <c r="D6" s="21" t="inlineStr">
        <is>
          <t>Category</t>
        </is>
      </c>
      <c r="E6" s="21" t="inlineStr">
        <is>
          <t>In-service date</t>
        </is>
      </c>
      <c r="F6" s="21" t="inlineStr">
        <is>
          <t>Cost</t>
        </is>
      </c>
      <c r="G6" s="21" t="inlineStr">
        <is>
          <t>Residual value</t>
        </is>
      </c>
      <c r="H6" s="21" t="inlineStr">
        <is>
          <t>Useful life (years)</t>
        </is>
      </c>
      <c r="I6" s="34" t="inlineStr">
        <is>
          <t>Depreciable amount</t>
        </is>
      </c>
      <c r="J6" s="34" t="inlineStr">
        <is>
          <t>Monthly depreciation</t>
        </is>
      </c>
      <c r="K6" s="34" t="inlineStr">
        <is>
          <t>Annual depreciation (full year)</t>
        </is>
      </c>
      <c r="L6" s="34" t="inlineStr">
        <is>
          <t>Last month of depreciation</t>
        </is>
      </c>
      <c r="M6" s="34" t="inlineStr">
        <is>
          <t>Accumulated depreciation before Year 1</t>
        </is>
      </c>
      <c r="N6" s="34" t="inlineStr">
        <is>
          <t>NBV at start of Year 1</t>
        </is>
      </c>
      <c r="O6" s="34" t="inlineStr">
        <is>
          <t>Check</t>
        </is>
      </c>
    </row>
    <row r="7">
      <c r="B7" s="35" t="inlineStr">
        <is>
          <t>FA-001</t>
        </is>
      </c>
      <c r="C7" s="35" t="inlineStr">
        <is>
          <t>Office fit-out</t>
        </is>
      </c>
      <c r="D7" s="35" t="inlineStr">
        <is>
          <t>Buildings &amp; improvements</t>
        </is>
      </c>
      <c r="E7" s="36" t="n">
        <v>44986</v>
      </c>
      <c r="F7" s="37" t="n">
        <v>180000</v>
      </c>
      <c r="G7" s="37" t="n">
        <v>0</v>
      </c>
      <c r="H7" s="38" t="n">
        <v>10</v>
      </c>
      <c r="I7" s="24">
        <f>IF($C7="","",MAX(0,F7-G7))</f>
        <v>180000</v>
      </c>
      <c r="J7" s="39">
        <f>IF($C7="","",IF(N(H7)&lt;=0,0,I7/(H7*12)))</f>
        <v>1500</v>
      </c>
      <c r="K7" s="24">
        <f>IF($C7="","",J7*12)</f>
        <v>18000</v>
      </c>
      <c r="L7" s="40">
        <f>IF($C7="","",IF(OR(E7="",N(H7)&lt;=0),"n/a",EOMONTH(E7,ROUNDUP(H7*12,0)-1)))</f>
        <v>48638.0</v>
      </c>
      <c r="M7" s="24">
        <f>IF($C7="","",IF(E7="",0,J7*MAX(0,MIN($H7*12,(YEAR(($D$4-1))-YEAR($E7))*12+MONTH(($D$4-1))-MONTH($E7)+1))))</f>
        <v>51000</v>
      </c>
      <c r="N7" s="24">
        <f>IF($C7="","",IF(OR(E7="",E7&gt;=$D$4),0,F7-M7))</f>
        <v>129000</v>
      </c>
      <c r="O7" s="41" t="str">
        <f>IF($C7="","",IF(E7="","CHECK: in-service date",IF(F7="","CHECK: cost missing",IF(N(G7)&gt;F7,"CHECK: residual &gt; cost",IF(H7="","CHECK: useful life",IF(H7=0,"Not depreciated",IF(E7&gt;=EDATE($D$4,60),"After Year 5","OK")))))))</f>
        <v>OK</v>
      </c>
    </row>
    <row r="8">
      <c r="B8" s="35" t="inlineStr">
        <is>
          <t>FA-002</t>
        </is>
      </c>
      <c r="C8" s="35" t="inlineStr">
        <is>
          <t>CNC cutting machine</t>
        </is>
      </c>
      <c r="D8" s="35" t="inlineStr">
        <is>
          <t>Machinery &amp; equipment</t>
        </is>
      </c>
      <c r="E8" s="36" t="n">
        <v>45474</v>
      </c>
      <c r="F8" s="37" t="n">
        <v>450000</v>
      </c>
      <c r="G8" s="37" t="n">
        <v>45000</v>
      </c>
      <c r="H8" s="38" t="n">
        <v>8</v>
      </c>
      <c r="I8" s="24">
        <f>IF($C8="","",MAX(0,F8-G8))</f>
        <v>405000</v>
      </c>
      <c r="J8" s="39">
        <f>IF($C8="","",IF(N(H8)&lt;=0,0,I8/(H8*12)))</f>
        <v>4218.75</v>
      </c>
      <c r="K8" s="24">
        <f>IF($C8="","",J8*12)</f>
        <v>50625</v>
      </c>
      <c r="L8" s="40">
        <f>IF($C8="","",IF(OR(E8="",N(H8)&lt;=0),"n/a",EOMONTH(E8,ROUNDUP(H8*12,0)-1)))</f>
        <v>48395.0</v>
      </c>
      <c r="M8" s="24">
        <f>IF($C8="","",IF(E8="",0,J8*MAX(0,MIN($H8*12,(YEAR(($D$4-1))-YEAR($E8))*12+MONTH(($D$4-1))-MONTH($E8)+1))))</f>
        <v>75937.5</v>
      </c>
      <c r="N8" s="24">
        <f>IF($C8="","",IF(OR(E8="",E8&gt;=$D$4),0,F8-M8))</f>
        <v>374062.5</v>
      </c>
      <c r="O8" s="41" t="str">
        <f>IF($C8="","",IF(E8="","CHECK: in-service date",IF(F8="","CHECK: cost missing",IF(N(G8)&gt;F8,"CHECK: residual &gt; cost",IF(H8="","CHECK: useful life",IF(H8=0,"Not depreciated",IF(E8&gt;=EDATE($D$4,60),"After Year 5","OK")))))))</f>
        <v>OK</v>
      </c>
    </row>
    <row r="9">
      <c r="B9" s="35" t="inlineStr">
        <is>
          <t>FA-003</t>
        </is>
      </c>
      <c r="C9" s="35" t="inlineStr">
        <is>
          <t>Forklift</t>
        </is>
      </c>
      <c r="D9" s="35" t="inlineStr">
        <is>
          <t>Machinery &amp; equipment</t>
        </is>
      </c>
      <c r="E9" s="36" t="n">
        <v>44576</v>
      </c>
      <c r="F9" s="37" t="n">
        <v>120000</v>
      </c>
      <c r="G9" s="37" t="n">
        <v>12000</v>
      </c>
      <c r="H9" s="38" t="n">
        <v>5</v>
      </c>
      <c r="I9" s="24">
        <f>IF($C9="","",MAX(0,F9-G9))</f>
        <v>108000</v>
      </c>
      <c r="J9" s="39">
        <f>IF($C9="","",IF(N(H9)&lt;=0,0,I9/(H9*12)))</f>
        <v>1800</v>
      </c>
      <c r="K9" s="24">
        <f>IF($C9="","",J9*12)</f>
        <v>21600</v>
      </c>
      <c r="L9" s="40">
        <f>IF($C9="","",IF(OR(E9="",N(H9)&lt;=0),"n/a",EOMONTH(E9,ROUNDUP(H9*12,0)-1)))</f>
        <v>46387.0</v>
      </c>
      <c r="M9" s="24">
        <f>IF($C9="","",IF(E9="",0,J9*MAX(0,MIN($H9*12,(YEAR(($D$4-1))-YEAR($E9))*12+MONTH(($D$4-1))-MONTH($E9)+1))))</f>
        <v>86400</v>
      </c>
      <c r="N9" s="24">
        <f>IF($C9="","",IF(OR(E9="",E9&gt;=$D$4),0,F9-M9))</f>
        <v>33600</v>
      </c>
      <c r="O9" s="41" t="str">
        <f>IF($C9="","",IF(E9="","CHECK: in-service date",IF(F9="","CHECK: cost missing",IF(N(G9)&gt;F9,"CHECK: residual &gt; cost",IF(H9="","CHECK: useful life",IF(H9=0,"Not depreciated",IF(E9&gt;=EDATE($D$4,60),"After Year 5","OK")))))))</f>
        <v>OK</v>
      </c>
    </row>
    <row r="10">
      <c r="B10" s="35" t="inlineStr">
        <is>
          <t>FA-004</t>
        </is>
      </c>
      <c r="C10" s="35" t="inlineStr">
        <is>
          <t>Delivery van</t>
        </is>
      </c>
      <c r="D10" s="35" t="inlineStr">
        <is>
          <t>Vehicles</t>
        </is>
      </c>
      <c r="E10" s="36" t="n">
        <v>45931</v>
      </c>
      <c r="F10" s="37" t="n">
        <v>95000</v>
      </c>
      <c r="G10" s="37" t="n">
        <v>15000</v>
      </c>
      <c r="H10" s="38" t="n">
        <v>5</v>
      </c>
      <c r="I10" s="24">
        <f>IF($C10="","",MAX(0,F10-G10))</f>
        <v>80000</v>
      </c>
      <c r="J10" s="39">
        <f>IF($C10="","",IF(N(H10)&lt;=0,0,I10/(H10*12)))</f>
        <v>1333.33333333333</v>
      </c>
      <c r="K10" s="24">
        <f>IF($C10="","",J10*12)</f>
        <v>16000</v>
      </c>
      <c r="L10" s="40">
        <f>IF($C10="","",IF(OR(E10="",N(H10)&lt;=0),"n/a",EOMONTH(E10,ROUNDUP(H10*12,0)-1)))</f>
        <v>47756.0</v>
      </c>
      <c r="M10" s="24">
        <f>IF($C10="","",IF(E10="",0,J10*MAX(0,MIN($H10*12,(YEAR(($D$4-1))-YEAR($E10))*12+MONTH(($D$4-1))-MONTH($E10)+1))))</f>
        <v>4000</v>
      </c>
      <c r="N10" s="24">
        <f>IF($C10="","",IF(OR(E10="",E10&gt;=$D$4),0,F10-M10))</f>
        <v>91000</v>
      </c>
      <c r="O10" s="41" t="str">
        <f>IF($C10="","",IF(E10="","CHECK: in-service date",IF(F10="","CHECK: cost missing",IF(N(G10)&gt;F10,"CHECK: residual &gt; cost",IF(H10="","CHECK: useful life",IF(H10=0,"Not depreciated",IF(E10&gt;=EDATE($D$4,60),"After Year 5","OK")))))))</f>
        <v>OK</v>
      </c>
    </row>
    <row r="11">
      <c r="B11" s="35" t="inlineStr">
        <is>
          <t>FA-005</t>
        </is>
      </c>
      <c r="C11" s="35" t="inlineStr">
        <is>
          <t>Delivery van (new)</t>
        </is>
      </c>
      <c r="D11" s="35" t="inlineStr">
        <is>
          <t>Vehicles</t>
        </is>
      </c>
      <c r="E11" s="36" t="n">
        <v>46266</v>
      </c>
      <c r="F11" s="37" t="n">
        <v>105000</v>
      </c>
      <c r="G11" s="37" t="n">
        <v>17000</v>
      </c>
      <c r="H11" s="38" t="n">
        <v>5</v>
      </c>
      <c r="I11" s="24">
        <f>IF($C11="","",MAX(0,F11-G11))</f>
        <v>88000</v>
      </c>
      <c r="J11" s="39">
        <f>IF($C11="","",IF(N(H11)&lt;=0,0,I11/(H11*12)))</f>
        <v>1466.66666666667</v>
      </c>
      <c r="K11" s="24">
        <f>IF($C11="","",J11*12)</f>
        <v>17600</v>
      </c>
      <c r="L11" s="40">
        <f>IF($C11="","",IF(OR(E11="",N(H11)&lt;=0),"n/a",EOMONTH(E11,ROUNDUP(H11*12,0)-1)))</f>
        <v>48091.0</v>
      </c>
      <c r="M11" s="24">
        <f>IF($C11="","",IF(E11="",0,J11*MAX(0,MIN($H11*12,(YEAR(($D$4-1))-YEAR($E11))*12+MONTH(($D$4-1))-MONTH($E11)+1))))</f>
        <v>0</v>
      </c>
      <c r="N11" s="24">
        <f>IF($C11="","",IF(OR(E11="",E11&gt;=$D$4),0,F11-M11))</f>
        <v>0</v>
      </c>
      <c r="O11" s="41" t="str">
        <f>IF($C11="","",IF(E11="","CHECK: in-service date",IF(F11="","CHECK: cost missing",IF(N(G11)&gt;F11,"CHECK: residual &gt; cost",IF(H11="","CHECK: useful life",IF(H11=0,"Not depreciated",IF(E11&gt;=EDATE($D$4,60),"After Year 5","OK")))))))</f>
        <v>OK</v>
      </c>
    </row>
    <row r="12">
      <c r="B12" s="35" t="inlineStr">
        <is>
          <t>FA-006</t>
        </is>
      </c>
      <c r="C12" s="35" t="inlineStr">
        <is>
          <t>Laptops (10 units)</t>
        </is>
      </c>
      <c r="D12" s="35" t="inlineStr">
        <is>
          <t>IT equipment</t>
        </is>
      </c>
      <c r="E12" s="36" t="n">
        <v>45689</v>
      </c>
      <c r="F12" s="37" t="n">
        <v>40000</v>
      </c>
      <c r="G12" s="37" t="n">
        <v>0</v>
      </c>
      <c r="H12" s="38" t="n">
        <v>3</v>
      </c>
      <c r="I12" s="24">
        <f>IF($C12="","",MAX(0,F12-G12))</f>
        <v>40000</v>
      </c>
      <c r="J12" s="39">
        <f>IF($C12="","",IF(N(H12)&lt;=0,0,I12/(H12*12)))</f>
        <v>1111.11111111111</v>
      </c>
      <c r="K12" s="24">
        <f>IF($C12="","",J12*12)</f>
        <v>13333.3333333333</v>
      </c>
      <c r="L12" s="40">
        <f>IF($C12="","",IF(OR(E12="",N(H12)&lt;=0),"n/a",EOMONTH(E12,ROUNDUP(H12*12,0)-1)))</f>
        <v>46783.0</v>
      </c>
      <c r="M12" s="24">
        <f>IF($C12="","",IF(E12="",0,J12*MAX(0,MIN($H12*12,(YEAR(($D$4-1))-YEAR($E12))*12+MONTH(($D$4-1))-MONTH($E12)+1))))</f>
        <v>12222.2222222222</v>
      </c>
      <c r="N12" s="24">
        <f>IF($C12="","",IF(OR(E12="",E12&gt;=$D$4),0,F12-M12))</f>
        <v>27777.7777777778</v>
      </c>
      <c r="O12" s="41" t="str">
        <f>IF($C12="","",IF(E12="","CHECK: in-service date",IF(F12="","CHECK: cost missing",IF(N(G12)&gt;F12,"CHECK: residual &gt; cost",IF(H12="","CHECK: useful life",IF(H12=0,"Not depreciated",IF(E12&gt;=EDATE($D$4,60),"After Year 5","OK")))))))</f>
        <v>OK</v>
      </c>
    </row>
    <row r="13">
      <c r="B13" s="35" t="inlineStr">
        <is>
          <t>FA-007</t>
        </is>
      </c>
      <c r="C13" s="35" t="inlineStr">
        <is>
          <t>Server and network</t>
        </is>
      </c>
      <c r="D13" s="35" t="inlineStr">
        <is>
          <t>IT equipment</t>
        </is>
      </c>
      <c r="E13" s="36" t="n">
        <v>46113</v>
      </c>
      <c r="F13" s="37" t="n">
        <v>60000</v>
      </c>
      <c r="G13" s="37" t="n">
        <v>0</v>
      </c>
      <c r="H13" s="38" t="n">
        <v>4</v>
      </c>
      <c r="I13" s="24">
        <f>IF($C13="","",MAX(0,F13-G13))</f>
        <v>60000</v>
      </c>
      <c r="J13" s="39">
        <f>IF($C13="","",IF(N(H13)&lt;=0,0,I13/(H13*12)))</f>
        <v>1250</v>
      </c>
      <c r="K13" s="24">
        <f>IF($C13="","",J13*12)</f>
        <v>15000</v>
      </c>
      <c r="L13" s="40">
        <f>IF($C13="","",IF(OR(E13="",N(H13)&lt;=0),"n/a",EOMONTH(E13,ROUNDUP(H13*12,0)-1)))</f>
        <v>47573.0</v>
      </c>
      <c r="M13" s="24">
        <f>IF($C13="","",IF(E13="",0,J13*MAX(0,MIN($H13*12,(YEAR(($D$4-1))-YEAR($E13))*12+MONTH(($D$4-1))-MONTH($E13)+1))))</f>
        <v>0</v>
      </c>
      <c r="N13" s="24">
        <f>IF($C13="","",IF(OR(E13="",E13&gt;=$D$4),0,F13-M13))</f>
        <v>0</v>
      </c>
      <c r="O13" s="41" t="str">
        <f>IF($C13="","",IF(E13="","CHECK: in-service date",IF(F13="","CHECK: cost missing",IF(N(G13)&gt;F13,"CHECK: residual &gt; cost",IF(H13="","CHECK: useful life",IF(H13=0,"Not depreciated",IF(E13&gt;=EDATE($D$4,60),"After Year 5","OK")))))))</f>
        <v>OK</v>
      </c>
    </row>
    <row r="14">
      <c r="B14" s="35" t="inlineStr">
        <is>
          <t>FA-008</t>
        </is>
      </c>
      <c r="C14" s="35" t="inlineStr">
        <is>
          <t>Office furniture</t>
        </is>
      </c>
      <c r="D14" s="35" t="inlineStr">
        <is>
          <t>Furniture &amp; fittings</t>
        </is>
      </c>
      <c r="E14" s="36" t="n">
        <v>44348</v>
      </c>
      <c r="F14" s="37" t="n">
        <v>35000</v>
      </c>
      <c r="G14" s="37" t="n">
        <v>0</v>
      </c>
      <c r="H14" s="38" t="n">
        <v>7</v>
      </c>
      <c r="I14" s="24">
        <f>IF($C14="","",MAX(0,F14-G14))</f>
        <v>35000</v>
      </c>
      <c r="J14" s="39">
        <f>IF($C14="","",IF(N(H14)&lt;=0,0,I14/(H14*12)))</f>
        <v>416.666666666667</v>
      </c>
      <c r="K14" s="24">
        <f>IF($C14="","",J14*12)</f>
        <v>5000</v>
      </c>
      <c r="L14" s="40">
        <f>IF($C14="","",IF(OR(E14="",N(H14)&lt;=0),"n/a",EOMONTH(E14,ROUNDUP(H14*12,0)-1)))</f>
        <v>46904.0</v>
      </c>
      <c r="M14" s="24">
        <f>IF($C14="","",IF(E14="",0,J14*MAX(0,MIN($H14*12,(YEAR(($D$4-1))-YEAR($E14))*12+MONTH(($D$4-1))-MONTH($E14)+1))))</f>
        <v>22916.6666666667</v>
      </c>
      <c r="N14" s="24">
        <f>IF($C14="","",IF(OR(E14="",E14&gt;=$D$4),0,F14-M14))</f>
        <v>12083.3333333333</v>
      </c>
      <c r="O14" s="41" t="str">
        <f>IF($C14="","",IF(E14="","CHECK: in-service date",IF(F14="","CHECK: cost missing",IF(N(G14)&gt;F14,"CHECK: residual &gt; cost",IF(H14="","CHECK: useful life",IF(H14=0,"Not depreciated",IF(E14&gt;=EDATE($D$4,60),"After Year 5","OK")))))))</f>
        <v>OK</v>
      </c>
    </row>
    <row r="15">
      <c r="B15" s="35" t="inlineStr">
        <is>
          <t>FA-009</t>
        </is>
      </c>
      <c r="C15" s="35" t="inlineStr">
        <is>
          <t>Warehouse racking (planned)</t>
        </is>
      </c>
      <c r="D15" s="35" t="inlineStr">
        <is>
          <t>Machinery &amp; equipment</t>
        </is>
      </c>
      <c r="E15" s="36" t="n">
        <v>46447</v>
      </c>
      <c r="F15" s="37" t="n">
        <v>80000</v>
      </c>
      <c r="G15" s="37" t="n">
        <v>0</v>
      </c>
      <c r="H15" s="38" t="n">
        <v>10</v>
      </c>
      <c r="I15" s="24">
        <f>IF($C15="","",MAX(0,F15-G15))</f>
        <v>80000</v>
      </c>
      <c r="J15" s="39">
        <f>IF($C15="","",IF(N(H15)&lt;=0,0,I15/(H15*12)))</f>
        <v>666.666666666667</v>
      </c>
      <c r="K15" s="24">
        <f>IF($C15="","",J15*12)</f>
        <v>8000</v>
      </c>
      <c r="L15" s="40">
        <f>IF($C15="","",IF(OR(E15="",N(H15)&lt;=0),"n/a",EOMONTH(E15,ROUNDUP(H15*12,0)-1)))</f>
        <v>50099.0</v>
      </c>
      <c r="M15" s="24">
        <f>IF($C15="","",IF(E15="",0,J15*MAX(0,MIN($H15*12,(YEAR(($D$4-1))-YEAR($E15))*12+MONTH(($D$4-1))-MONTH($E15)+1))))</f>
        <v>0</v>
      </c>
      <c r="N15" s="24">
        <f>IF($C15="","",IF(OR(E15="",E15&gt;=$D$4),0,F15-M15))</f>
        <v>0</v>
      </c>
      <c r="O15" s="41" t="str">
        <f>IF($C15="","",IF(E15="","CHECK: in-service date",IF(F15="","CHECK: cost missing",IF(N(G15)&gt;F15,"CHECK: residual &gt; cost",IF(H15="","CHECK: useful life",IF(H15=0,"Not depreciated",IF(E15&gt;=EDATE($D$4,60),"After Year 5","OK")))))))</f>
        <v>OK</v>
      </c>
    </row>
    <row r="16">
      <c r="B16" s="35" t="inlineStr">
        <is>
          <t>FA-010</t>
        </is>
      </c>
      <c r="C16" s="35" t="inlineStr">
        <is>
          <t>Land plot</t>
        </is>
      </c>
      <c r="D16" s="35" t="inlineStr">
        <is>
          <t>Land (not depreciated)</t>
        </is>
      </c>
      <c r="E16" s="36" t="n">
        <v>43831</v>
      </c>
      <c r="F16" s="37" t="n">
        <v>300000</v>
      </c>
      <c r="G16" s="37" t="n">
        <v>0</v>
      </c>
      <c r="H16" s="38" t="n">
        <v>0</v>
      </c>
      <c r="I16" s="24">
        <f>IF($C16="","",MAX(0,F16-G16))</f>
        <v>300000</v>
      </c>
      <c r="J16" s="39">
        <f>IF($C16="","",IF(N(H16)&lt;=0,0,I16/(H16*12)))</f>
        <v>0</v>
      </c>
      <c r="K16" s="24">
        <f>IF($C16="","",J16*12)</f>
        <v>0</v>
      </c>
      <c r="L16" s="40" t="str">
        <f>IF($C16="","",IF(OR(E16="",N(H16)&lt;=0),"n/a",EOMONTH(E16,ROUNDUP(H16*12,0)-1)))</f>
        <v>n/a</v>
      </c>
      <c r="M16" s="24">
        <f>IF($C16="","",IF(E16="",0,J16*MAX(0,MIN($H16*12,(YEAR(($D$4-1))-YEAR($E16))*12+MONTH(($D$4-1))-MONTH($E16)+1))))</f>
        <v>0</v>
      </c>
      <c r="N16" s="24">
        <f>IF($C16="","",IF(OR(E16="",E16&gt;=$D$4),0,F16-M16))</f>
        <v>300000</v>
      </c>
      <c r="O16" s="41" t="str">
        <f>IF($C16="","",IF(E16="","CHECK: in-service date",IF(F16="","CHECK: cost missing",IF(N(G16)&gt;F16,"CHECK: residual &gt; cost",IF(H16="","CHECK: useful life",IF(H16=0,"Not depreciated",IF(E16&gt;=EDATE($D$4,60),"After Year 5","OK")))))))</f>
        <v>Not depreciated</v>
      </c>
    </row>
    <row r="17">
      <c r="B17" s="35" t="n"/>
      <c r="C17" s="35" t="n"/>
      <c r="D17" s="35" t="n"/>
      <c r="E17" s="36" t="n"/>
      <c r="F17" s="37" t="n"/>
      <c r="G17" s="37" t="n"/>
      <c r="H17" s="38" t="n"/>
      <c r="I17" s="24">
        <f>IF($C17="","",MAX(0,F17-G17))</f>
        <v/>
      </c>
      <c r="J17" s="39">
        <f>IF($C17="","",IF(N(H17)&lt;=0,0,I17/(H17*12)))</f>
        <v/>
      </c>
      <c r="K17" s="24">
        <f>IF($C17="","",J17*12)</f>
        <v/>
      </c>
      <c r="L17" s="40">
        <f>IF($C17="","",IF(OR(E17="",N(H17)&lt;=0),"n/a",EOMONTH(E17,ROUNDUP(H17*12,0)-1)))</f>
        <v/>
      </c>
      <c r="M17" s="24">
        <f>IF($C17="","",IF(E17="",0,J17*MAX(0,MIN($H17*12,(YEAR(($D$4-1))-YEAR($E17))*12+MONTH(($D$4-1))-MONTH($E17)+1))))</f>
        <v/>
      </c>
      <c r="N17" s="24">
        <f>IF($C17="","",IF(OR(E17="",E17&gt;=$D$4),0,F17-M17))</f>
        <v/>
      </c>
      <c r="O17" s="41">
        <f>IF($C17="","",IF(E17="","CHECK: in-service date",IF(F17="","CHECK: cost missing",IF(N(G17)&gt;F17,"CHECK: residual &gt; cost",IF(H17="","CHECK: useful life",IF(H17=0,"Not depreciated",IF(E17&gt;=EDATE($D$4,60),"After Year 5","OK")))))))</f>
        <v/>
      </c>
    </row>
    <row r="18">
      <c r="B18" s="35" t="n"/>
      <c r="C18" s="35" t="n"/>
      <c r="D18" s="35" t="n"/>
      <c r="E18" s="36" t="n"/>
      <c r="F18" s="37" t="n"/>
      <c r="G18" s="37" t="n"/>
      <c r="H18" s="38" t="n"/>
      <c r="I18" s="24">
        <f>IF($C18="","",MAX(0,F18-G18))</f>
        <v/>
      </c>
      <c r="J18" s="39">
        <f>IF($C18="","",IF(N(H18)&lt;=0,0,I18/(H18*12)))</f>
        <v/>
      </c>
      <c r="K18" s="24">
        <f>IF($C18="","",J18*12)</f>
        <v/>
      </c>
      <c r="L18" s="40">
        <f>IF($C18="","",IF(OR(E18="",N(H18)&lt;=0),"n/a",EOMONTH(E18,ROUNDUP(H18*12,0)-1)))</f>
        <v/>
      </c>
      <c r="M18" s="24">
        <f>IF($C18="","",IF(E18="",0,J18*MAX(0,MIN($H18*12,(YEAR(($D$4-1))-YEAR($E18))*12+MONTH(($D$4-1))-MONTH($E18)+1))))</f>
        <v/>
      </c>
      <c r="N18" s="24">
        <f>IF($C18="","",IF(OR(E18="",E18&gt;=$D$4),0,F18-M18))</f>
        <v/>
      </c>
      <c r="O18" s="41">
        <f>IF($C18="","",IF(E18="","CHECK: in-service date",IF(F18="","CHECK: cost missing",IF(N(G18)&gt;F18,"CHECK: residual &gt; cost",IF(H18="","CHECK: useful life",IF(H18=0,"Not depreciated",IF(E18&gt;=EDATE($D$4,60),"After Year 5","OK")))))))</f>
        <v/>
      </c>
    </row>
    <row r="19">
      <c r="B19" s="35" t="n"/>
      <c r="C19" s="35" t="n"/>
      <c r="D19" s="35" t="n"/>
      <c r="E19" s="36" t="n"/>
      <c r="F19" s="37" t="n"/>
      <c r="G19" s="37" t="n"/>
      <c r="H19" s="38" t="n"/>
      <c r="I19" s="24">
        <f>IF($C19="","",MAX(0,F19-G19))</f>
        <v/>
      </c>
      <c r="J19" s="39">
        <f>IF($C19="","",IF(N(H19)&lt;=0,0,I19/(H19*12)))</f>
        <v/>
      </c>
      <c r="K19" s="24">
        <f>IF($C19="","",J19*12)</f>
        <v/>
      </c>
      <c r="L19" s="40">
        <f>IF($C19="","",IF(OR(E19="",N(H19)&lt;=0),"n/a",EOMONTH(E19,ROUNDUP(H19*12,0)-1)))</f>
        <v/>
      </c>
      <c r="M19" s="24">
        <f>IF($C19="","",IF(E19="",0,J19*MAX(0,MIN($H19*12,(YEAR(($D$4-1))-YEAR($E19))*12+MONTH(($D$4-1))-MONTH($E19)+1))))</f>
        <v/>
      </c>
      <c r="N19" s="24">
        <f>IF($C19="","",IF(OR(E19="",E19&gt;=$D$4),0,F19-M19))</f>
        <v/>
      </c>
      <c r="O19" s="41">
        <f>IF($C19="","",IF(E19="","CHECK: in-service date",IF(F19="","CHECK: cost missing",IF(N(G19)&gt;F19,"CHECK: residual &gt; cost",IF(H19="","CHECK: useful life",IF(H19=0,"Not depreciated",IF(E19&gt;=EDATE($D$4,60),"After Year 5","OK")))))))</f>
        <v/>
      </c>
    </row>
    <row r="20">
      <c r="B20" s="35" t="n"/>
      <c r="C20" s="35" t="n"/>
      <c r="D20" s="35" t="n"/>
      <c r="E20" s="36" t="n"/>
      <c r="F20" s="37" t="n"/>
      <c r="G20" s="37" t="n"/>
      <c r="H20" s="38" t="n"/>
      <c r="I20" s="24">
        <f>IF($C20="","",MAX(0,F20-G20))</f>
        <v/>
      </c>
      <c r="J20" s="39">
        <f>IF($C20="","",IF(N(H20)&lt;=0,0,I20/(H20*12)))</f>
        <v/>
      </c>
      <c r="K20" s="24">
        <f>IF($C20="","",J20*12)</f>
        <v/>
      </c>
      <c r="L20" s="40">
        <f>IF($C20="","",IF(OR(E20="",N(H20)&lt;=0),"n/a",EOMONTH(E20,ROUNDUP(H20*12,0)-1)))</f>
        <v/>
      </c>
      <c r="M20" s="24">
        <f>IF($C20="","",IF(E20="",0,J20*MAX(0,MIN($H20*12,(YEAR(($D$4-1))-YEAR($E20))*12+MONTH(($D$4-1))-MONTH($E20)+1))))</f>
        <v/>
      </c>
      <c r="N20" s="24">
        <f>IF($C20="","",IF(OR(E20="",E20&gt;=$D$4),0,F20-M20))</f>
        <v/>
      </c>
      <c r="O20" s="41">
        <f>IF($C20="","",IF(E20="","CHECK: in-service date",IF(F20="","CHECK: cost missing",IF(N(G20)&gt;F20,"CHECK: residual &gt; cost",IF(H20="","CHECK: useful life",IF(H20=0,"Not depreciated",IF(E20&gt;=EDATE($D$4,60),"After Year 5","OK")))))))</f>
        <v/>
      </c>
    </row>
    <row r="21">
      <c r="B21" s="35" t="n"/>
      <c r="C21" s="35" t="n"/>
      <c r="D21" s="35" t="n"/>
      <c r="E21" s="36" t="n"/>
      <c r="F21" s="37" t="n"/>
      <c r="G21" s="37" t="n"/>
      <c r="H21" s="38" t="n"/>
      <c r="I21" s="24">
        <f>IF($C21="","",MAX(0,F21-G21))</f>
        <v/>
      </c>
      <c r="J21" s="39">
        <f>IF($C21="","",IF(N(H21)&lt;=0,0,I21/(H21*12)))</f>
        <v/>
      </c>
      <c r="K21" s="24">
        <f>IF($C21="","",J21*12)</f>
        <v/>
      </c>
      <c r="L21" s="40">
        <f>IF($C21="","",IF(OR(E21="",N(H21)&lt;=0),"n/a",EOMONTH(E21,ROUNDUP(H21*12,0)-1)))</f>
        <v/>
      </c>
      <c r="M21" s="24">
        <f>IF($C21="","",IF(E21="",0,J21*MAX(0,MIN($H21*12,(YEAR(($D$4-1))-YEAR($E21))*12+MONTH(($D$4-1))-MONTH($E21)+1))))</f>
        <v/>
      </c>
      <c r="N21" s="24">
        <f>IF($C21="","",IF(OR(E21="",E21&gt;=$D$4),0,F21-M21))</f>
        <v/>
      </c>
      <c r="O21" s="41">
        <f>IF($C21="","",IF(E21="","CHECK: in-service date",IF(F21="","CHECK: cost missing",IF(N(G21)&gt;F21,"CHECK: residual &gt; cost",IF(H21="","CHECK: useful life",IF(H21=0,"Not depreciated",IF(E21&gt;=EDATE($D$4,60),"After Year 5","OK")))))))</f>
        <v/>
      </c>
    </row>
    <row r="22">
      <c r="B22" s="35" t="n"/>
      <c r="C22" s="35" t="n"/>
      <c r="D22" s="35" t="n"/>
      <c r="E22" s="36" t="n"/>
      <c r="F22" s="37" t="n"/>
      <c r="G22" s="37" t="n"/>
      <c r="H22" s="38" t="n"/>
      <c r="I22" s="24">
        <f>IF($C22="","",MAX(0,F22-G22))</f>
        <v/>
      </c>
      <c r="J22" s="39">
        <f>IF($C22="","",IF(N(H22)&lt;=0,0,I22/(H22*12)))</f>
        <v/>
      </c>
      <c r="K22" s="24">
        <f>IF($C22="","",J22*12)</f>
        <v/>
      </c>
      <c r="L22" s="40">
        <f>IF($C22="","",IF(OR(E22="",N(H22)&lt;=0),"n/a",EOMONTH(E22,ROUNDUP(H22*12,0)-1)))</f>
        <v/>
      </c>
      <c r="M22" s="24">
        <f>IF($C22="","",IF(E22="",0,J22*MAX(0,MIN($H22*12,(YEAR(($D$4-1))-YEAR($E22))*12+MONTH(($D$4-1))-MONTH($E22)+1))))</f>
        <v/>
      </c>
      <c r="N22" s="24">
        <f>IF($C22="","",IF(OR(E22="",E22&gt;=$D$4),0,F22-M22))</f>
        <v/>
      </c>
      <c r="O22" s="41">
        <f>IF($C22="","",IF(E22="","CHECK: in-service date",IF(F22="","CHECK: cost missing",IF(N(G22)&gt;F22,"CHECK: residual &gt; cost",IF(H22="","CHECK: useful life",IF(H22=0,"Not depreciated",IF(E22&gt;=EDATE($D$4,60),"After Year 5","OK")))))))</f>
        <v/>
      </c>
    </row>
    <row r="23">
      <c r="B23" s="35" t="n"/>
      <c r="C23" s="35" t="n"/>
      <c r="D23" s="35" t="n"/>
      <c r="E23" s="36" t="n"/>
      <c r="F23" s="37" t="n"/>
      <c r="G23" s="37" t="n"/>
      <c r="H23" s="38" t="n"/>
      <c r="I23" s="24">
        <f>IF($C23="","",MAX(0,F23-G23))</f>
        <v/>
      </c>
      <c r="J23" s="39">
        <f>IF($C23="","",IF(N(H23)&lt;=0,0,I23/(H23*12)))</f>
        <v/>
      </c>
      <c r="K23" s="24">
        <f>IF($C23="","",J23*12)</f>
        <v/>
      </c>
      <c r="L23" s="40">
        <f>IF($C23="","",IF(OR(E23="",N(H23)&lt;=0),"n/a",EOMONTH(E23,ROUNDUP(H23*12,0)-1)))</f>
        <v/>
      </c>
      <c r="M23" s="24">
        <f>IF($C23="","",IF(E23="",0,J23*MAX(0,MIN($H23*12,(YEAR(($D$4-1))-YEAR($E23))*12+MONTH(($D$4-1))-MONTH($E23)+1))))</f>
        <v/>
      </c>
      <c r="N23" s="24">
        <f>IF($C23="","",IF(OR(E23="",E23&gt;=$D$4),0,F23-M23))</f>
        <v/>
      </c>
      <c r="O23" s="41">
        <f>IF($C23="","",IF(E23="","CHECK: in-service date",IF(F23="","CHECK: cost missing",IF(N(G23)&gt;F23,"CHECK: residual &gt; cost",IF(H23="","CHECK: useful life",IF(H23=0,"Not depreciated",IF(E23&gt;=EDATE($D$4,60),"After Year 5","OK")))))))</f>
        <v/>
      </c>
    </row>
    <row r="24">
      <c r="B24" s="35" t="n"/>
      <c r="C24" s="35" t="n"/>
      <c r="D24" s="35" t="n"/>
      <c r="E24" s="36" t="n"/>
      <c r="F24" s="37" t="n"/>
      <c r="G24" s="37" t="n"/>
      <c r="H24" s="38" t="n"/>
      <c r="I24" s="24">
        <f>IF($C24="","",MAX(0,F24-G24))</f>
        <v/>
      </c>
      <c r="J24" s="39">
        <f>IF($C24="","",IF(N(H24)&lt;=0,0,I24/(H24*12)))</f>
        <v/>
      </c>
      <c r="K24" s="24">
        <f>IF($C24="","",J24*12)</f>
        <v/>
      </c>
      <c r="L24" s="40">
        <f>IF($C24="","",IF(OR(E24="",N(H24)&lt;=0),"n/a",EOMONTH(E24,ROUNDUP(H24*12,0)-1)))</f>
        <v/>
      </c>
      <c r="M24" s="24">
        <f>IF($C24="","",IF(E24="",0,J24*MAX(0,MIN($H24*12,(YEAR(($D$4-1))-YEAR($E24))*12+MONTH(($D$4-1))-MONTH($E24)+1))))</f>
        <v/>
      </c>
      <c r="N24" s="24">
        <f>IF($C24="","",IF(OR(E24="",E24&gt;=$D$4),0,F24-M24))</f>
        <v/>
      </c>
      <c r="O24" s="41">
        <f>IF($C24="","",IF(E24="","CHECK: in-service date",IF(F24="","CHECK: cost missing",IF(N(G24)&gt;F24,"CHECK: residual &gt; cost",IF(H24="","CHECK: useful life",IF(H24=0,"Not depreciated",IF(E24&gt;=EDATE($D$4,60),"After Year 5","OK")))))))</f>
        <v/>
      </c>
    </row>
    <row r="25">
      <c r="B25" s="35" t="n"/>
      <c r="C25" s="35" t="n"/>
      <c r="D25" s="35" t="n"/>
      <c r="E25" s="36" t="n"/>
      <c r="F25" s="37" t="n"/>
      <c r="G25" s="37" t="n"/>
      <c r="H25" s="38" t="n"/>
      <c r="I25" s="24">
        <f>IF($C25="","",MAX(0,F25-G25))</f>
        <v/>
      </c>
      <c r="J25" s="39">
        <f>IF($C25="","",IF(N(H25)&lt;=0,0,I25/(H25*12)))</f>
        <v/>
      </c>
      <c r="K25" s="24">
        <f>IF($C25="","",J25*12)</f>
        <v/>
      </c>
      <c r="L25" s="40">
        <f>IF($C25="","",IF(OR(E25="",N(H25)&lt;=0),"n/a",EOMONTH(E25,ROUNDUP(H25*12,0)-1)))</f>
        <v/>
      </c>
      <c r="M25" s="24">
        <f>IF($C25="","",IF(E25="",0,J25*MAX(0,MIN($H25*12,(YEAR(($D$4-1))-YEAR($E25))*12+MONTH(($D$4-1))-MONTH($E25)+1))))</f>
        <v/>
      </c>
      <c r="N25" s="24">
        <f>IF($C25="","",IF(OR(E25="",E25&gt;=$D$4),0,F25-M25))</f>
        <v/>
      </c>
      <c r="O25" s="41">
        <f>IF($C25="","",IF(E25="","CHECK: in-service date",IF(F25="","CHECK: cost missing",IF(N(G25)&gt;F25,"CHECK: residual &gt; cost",IF(H25="","CHECK: useful life",IF(H25=0,"Not depreciated",IF(E25&gt;=EDATE($D$4,60),"After Year 5","OK")))))))</f>
        <v/>
      </c>
    </row>
    <row r="26">
      <c r="B26" s="35" t="n"/>
      <c r="C26" s="35" t="n"/>
      <c r="D26" s="35" t="n"/>
      <c r="E26" s="36" t="n"/>
      <c r="F26" s="37" t="n"/>
      <c r="G26" s="37" t="n"/>
      <c r="H26" s="38" t="n"/>
      <c r="I26" s="24">
        <f>IF($C26="","",MAX(0,F26-G26))</f>
        <v/>
      </c>
      <c r="J26" s="39">
        <f>IF($C26="","",IF(N(H26)&lt;=0,0,I26/(H26*12)))</f>
        <v/>
      </c>
      <c r="K26" s="24">
        <f>IF($C26="","",J26*12)</f>
        <v/>
      </c>
      <c r="L26" s="40">
        <f>IF($C26="","",IF(OR(E26="",N(H26)&lt;=0),"n/a",EOMONTH(E26,ROUNDUP(H26*12,0)-1)))</f>
        <v/>
      </c>
      <c r="M26" s="24">
        <f>IF($C26="","",IF(E26="",0,J26*MAX(0,MIN($H26*12,(YEAR(($D$4-1))-YEAR($E26))*12+MONTH(($D$4-1))-MONTH($E26)+1))))</f>
        <v/>
      </c>
      <c r="N26" s="24">
        <f>IF($C26="","",IF(OR(E26="",E26&gt;=$D$4),0,F26-M26))</f>
        <v/>
      </c>
      <c r="O26" s="41">
        <f>IF($C26="","",IF(E26="","CHECK: in-service date",IF(F26="","CHECK: cost missing",IF(N(G26)&gt;F26,"CHECK: residual &gt; cost",IF(H26="","CHECK: useful life",IF(H26=0,"Not depreciated",IF(E26&gt;=EDATE($D$4,60),"After Year 5","OK")))))))</f>
        <v/>
      </c>
    </row>
    <row r="27">
      <c r="B27" s="35" t="n"/>
      <c r="C27" s="35" t="n"/>
      <c r="D27" s="35" t="n"/>
      <c r="E27" s="36" t="n"/>
      <c r="F27" s="37" t="n"/>
      <c r="G27" s="37" t="n"/>
      <c r="H27" s="38" t="n"/>
      <c r="I27" s="24">
        <f>IF($C27="","",MAX(0,F27-G27))</f>
        <v/>
      </c>
      <c r="J27" s="39">
        <f>IF($C27="","",IF(N(H27)&lt;=0,0,I27/(H27*12)))</f>
        <v/>
      </c>
      <c r="K27" s="24">
        <f>IF($C27="","",J27*12)</f>
        <v/>
      </c>
      <c r="L27" s="40">
        <f>IF($C27="","",IF(OR(E27="",N(H27)&lt;=0),"n/a",EOMONTH(E27,ROUNDUP(H27*12,0)-1)))</f>
        <v/>
      </c>
      <c r="M27" s="24">
        <f>IF($C27="","",IF(E27="",0,J27*MAX(0,MIN($H27*12,(YEAR(($D$4-1))-YEAR($E27))*12+MONTH(($D$4-1))-MONTH($E27)+1))))</f>
        <v/>
      </c>
      <c r="N27" s="24">
        <f>IF($C27="","",IF(OR(E27="",E27&gt;=$D$4),0,F27-M27))</f>
        <v/>
      </c>
      <c r="O27" s="41">
        <f>IF($C27="","",IF(E27="","CHECK: in-service date",IF(F27="","CHECK: cost missing",IF(N(G27)&gt;F27,"CHECK: residual &gt; cost",IF(H27="","CHECK: useful life",IF(H27=0,"Not depreciated",IF(E27&gt;=EDATE($D$4,60),"After Year 5","OK")))))))</f>
        <v/>
      </c>
    </row>
    <row r="28">
      <c r="B28" s="35" t="n"/>
      <c r="C28" s="35" t="n"/>
      <c r="D28" s="35" t="n"/>
      <c r="E28" s="36" t="n"/>
      <c r="F28" s="37" t="n"/>
      <c r="G28" s="37" t="n"/>
      <c r="H28" s="38" t="n"/>
      <c r="I28" s="24">
        <f>IF($C28="","",MAX(0,F28-G28))</f>
        <v/>
      </c>
      <c r="J28" s="39">
        <f>IF($C28="","",IF(N(H28)&lt;=0,0,I28/(H28*12)))</f>
        <v/>
      </c>
      <c r="K28" s="24">
        <f>IF($C28="","",J28*12)</f>
        <v/>
      </c>
      <c r="L28" s="40">
        <f>IF($C28="","",IF(OR(E28="",N(H28)&lt;=0),"n/a",EOMONTH(E28,ROUNDUP(H28*12,0)-1)))</f>
        <v/>
      </c>
      <c r="M28" s="24">
        <f>IF($C28="","",IF(E28="",0,J28*MAX(0,MIN($H28*12,(YEAR(($D$4-1))-YEAR($E28))*12+MONTH(($D$4-1))-MONTH($E28)+1))))</f>
        <v/>
      </c>
      <c r="N28" s="24">
        <f>IF($C28="","",IF(OR(E28="",E28&gt;=$D$4),0,F28-M28))</f>
        <v/>
      </c>
      <c r="O28" s="41">
        <f>IF($C28="","",IF(E28="","CHECK: in-service date",IF(F28="","CHECK: cost missing",IF(N(G28)&gt;F28,"CHECK: residual &gt; cost",IF(H28="","CHECK: useful life",IF(H28=0,"Not depreciated",IF(E28&gt;=EDATE($D$4,60),"After Year 5","OK")))))))</f>
        <v/>
      </c>
    </row>
    <row r="29">
      <c r="B29" s="35" t="n"/>
      <c r="C29" s="35" t="n"/>
      <c r="D29" s="35" t="n"/>
      <c r="E29" s="36" t="n"/>
      <c r="F29" s="37" t="n"/>
      <c r="G29" s="37" t="n"/>
      <c r="H29" s="38" t="n"/>
      <c r="I29" s="24">
        <f>IF($C29="","",MAX(0,F29-G29))</f>
        <v/>
      </c>
      <c r="J29" s="39">
        <f>IF($C29="","",IF(N(H29)&lt;=0,0,I29/(H29*12)))</f>
        <v/>
      </c>
      <c r="K29" s="24">
        <f>IF($C29="","",J29*12)</f>
        <v/>
      </c>
      <c r="L29" s="40">
        <f>IF($C29="","",IF(OR(E29="",N(H29)&lt;=0),"n/a",EOMONTH(E29,ROUNDUP(H29*12,0)-1)))</f>
        <v/>
      </c>
      <c r="M29" s="24">
        <f>IF($C29="","",IF(E29="",0,J29*MAX(0,MIN($H29*12,(YEAR(($D$4-1))-YEAR($E29))*12+MONTH(($D$4-1))-MONTH($E29)+1))))</f>
        <v/>
      </c>
      <c r="N29" s="24">
        <f>IF($C29="","",IF(OR(E29="",E29&gt;=$D$4),0,F29-M29))</f>
        <v/>
      </c>
      <c r="O29" s="41">
        <f>IF($C29="","",IF(E29="","CHECK: in-service date",IF(F29="","CHECK: cost missing",IF(N(G29)&gt;F29,"CHECK: residual &gt; cost",IF(H29="","CHECK: useful life",IF(H29=0,"Not depreciated",IF(E29&gt;=EDATE($D$4,60),"After Year 5","OK")))))))</f>
        <v/>
      </c>
    </row>
    <row r="30">
      <c r="B30" s="35" t="n"/>
      <c r="C30" s="35" t="n"/>
      <c r="D30" s="35" t="n"/>
      <c r="E30" s="36" t="n"/>
      <c r="F30" s="37" t="n"/>
      <c r="G30" s="37" t="n"/>
      <c r="H30" s="38" t="n"/>
      <c r="I30" s="24">
        <f>IF($C30="","",MAX(0,F30-G30))</f>
        <v/>
      </c>
      <c r="J30" s="39">
        <f>IF($C30="","",IF(N(H30)&lt;=0,0,I30/(H30*12)))</f>
        <v/>
      </c>
      <c r="K30" s="24">
        <f>IF($C30="","",J30*12)</f>
        <v/>
      </c>
      <c r="L30" s="40">
        <f>IF($C30="","",IF(OR(E30="",N(H30)&lt;=0),"n/a",EOMONTH(E30,ROUNDUP(H30*12,0)-1)))</f>
        <v/>
      </c>
      <c r="M30" s="24">
        <f>IF($C30="","",IF(E30="",0,J30*MAX(0,MIN($H30*12,(YEAR(($D$4-1))-YEAR($E30))*12+MONTH(($D$4-1))-MONTH($E30)+1))))</f>
        <v/>
      </c>
      <c r="N30" s="24">
        <f>IF($C30="","",IF(OR(E30="",E30&gt;=$D$4),0,F30-M30))</f>
        <v/>
      </c>
      <c r="O30" s="41">
        <f>IF($C30="","",IF(E30="","CHECK: in-service date",IF(F30="","CHECK: cost missing",IF(N(G30)&gt;F30,"CHECK: residual &gt; cost",IF(H30="","CHECK: useful life",IF(H30=0,"Not depreciated",IF(E30&gt;=EDATE($D$4,60),"After Year 5","OK")))))))</f>
        <v/>
      </c>
    </row>
    <row r="31">
      <c r="B31" s="35" t="n"/>
      <c r="C31" s="35" t="n"/>
      <c r="D31" s="35" t="n"/>
      <c r="E31" s="36" t="n"/>
      <c r="F31" s="37" t="n"/>
      <c r="G31" s="37" t="n"/>
      <c r="H31" s="38" t="n"/>
      <c r="I31" s="24">
        <f>IF($C31="","",MAX(0,F31-G31))</f>
        <v/>
      </c>
      <c r="J31" s="39">
        <f>IF($C31="","",IF(N(H31)&lt;=0,0,I31/(H31*12)))</f>
        <v/>
      </c>
      <c r="K31" s="24">
        <f>IF($C31="","",J31*12)</f>
        <v/>
      </c>
      <c r="L31" s="40">
        <f>IF($C31="","",IF(OR(E31="",N(H31)&lt;=0),"n/a",EOMONTH(E31,ROUNDUP(H31*12,0)-1)))</f>
        <v/>
      </c>
      <c r="M31" s="24">
        <f>IF($C31="","",IF(E31="",0,J31*MAX(0,MIN($H31*12,(YEAR(($D$4-1))-YEAR($E31))*12+MONTH(($D$4-1))-MONTH($E31)+1))))</f>
        <v/>
      </c>
      <c r="N31" s="24">
        <f>IF($C31="","",IF(OR(E31="",E31&gt;=$D$4),0,F31-M31))</f>
        <v/>
      </c>
      <c r="O31" s="41">
        <f>IF($C31="","",IF(E31="","CHECK: in-service date",IF(F31="","CHECK: cost missing",IF(N(G31)&gt;F31,"CHECK: residual &gt; cost",IF(H31="","CHECK: useful life",IF(H31=0,"Not depreciated",IF(E31&gt;=EDATE($D$4,60),"After Year 5","OK")))))))</f>
        <v/>
      </c>
    </row>
    <row r="32">
      <c r="B32" s="35" t="n"/>
      <c r="C32" s="35" t="n"/>
      <c r="D32" s="35" t="n"/>
      <c r="E32" s="36" t="n"/>
      <c r="F32" s="37" t="n"/>
      <c r="G32" s="37" t="n"/>
      <c r="H32" s="38" t="n"/>
      <c r="I32" s="24">
        <f>IF($C32="","",MAX(0,F32-G32))</f>
        <v/>
      </c>
      <c r="J32" s="39">
        <f>IF($C32="","",IF(N(H32)&lt;=0,0,I32/(H32*12)))</f>
        <v/>
      </c>
      <c r="K32" s="24">
        <f>IF($C32="","",J32*12)</f>
        <v/>
      </c>
      <c r="L32" s="40">
        <f>IF($C32="","",IF(OR(E32="",N(H32)&lt;=0),"n/a",EOMONTH(E32,ROUNDUP(H32*12,0)-1)))</f>
        <v/>
      </c>
      <c r="M32" s="24">
        <f>IF($C32="","",IF(E32="",0,J32*MAX(0,MIN($H32*12,(YEAR(($D$4-1))-YEAR($E32))*12+MONTH(($D$4-1))-MONTH($E32)+1))))</f>
        <v/>
      </c>
      <c r="N32" s="24">
        <f>IF($C32="","",IF(OR(E32="",E32&gt;=$D$4),0,F32-M32))</f>
        <v/>
      </c>
      <c r="O32" s="41">
        <f>IF($C32="","",IF(E32="","CHECK: in-service date",IF(F32="","CHECK: cost missing",IF(N(G32)&gt;F32,"CHECK: residual &gt; cost",IF(H32="","CHECK: useful life",IF(H32=0,"Not depreciated",IF(E32&gt;=EDATE($D$4,60),"After Year 5","OK")))))))</f>
        <v/>
      </c>
    </row>
    <row r="33">
      <c r="B33" s="35" t="n"/>
      <c r="C33" s="35" t="n"/>
      <c r="D33" s="35" t="n"/>
      <c r="E33" s="36" t="n"/>
      <c r="F33" s="37" t="n"/>
      <c r="G33" s="37" t="n"/>
      <c r="H33" s="38" t="n"/>
      <c r="I33" s="24">
        <f>IF($C33="","",MAX(0,F33-G33))</f>
        <v/>
      </c>
      <c r="J33" s="39">
        <f>IF($C33="","",IF(N(H33)&lt;=0,0,I33/(H33*12)))</f>
        <v/>
      </c>
      <c r="K33" s="24">
        <f>IF($C33="","",J33*12)</f>
        <v/>
      </c>
      <c r="L33" s="40">
        <f>IF($C33="","",IF(OR(E33="",N(H33)&lt;=0),"n/a",EOMONTH(E33,ROUNDUP(H33*12,0)-1)))</f>
        <v/>
      </c>
      <c r="M33" s="24">
        <f>IF($C33="","",IF(E33="",0,J33*MAX(0,MIN($H33*12,(YEAR(($D$4-1))-YEAR($E33))*12+MONTH(($D$4-1))-MONTH($E33)+1))))</f>
        <v/>
      </c>
      <c r="N33" s="24">
        <f>IF($C33="","",IF(OR(E33="",E33&gt;=$D$4),0,F33-M33))</f>
        <v/>
      </c>
      <c r="O33" s="41">
        <f>IF($C33="","",IF(E33="","CHECK: in-service date",IF(F33="","CHECK: cost missing",IF(N(G33)&gt;F33,"CHECK: residual &gt; cost",IF(H33="","CHECK: useful life",IF(H33=0,"Not depreciated",IF(E33&gt;=EDATE($D$4,60),"After Year 5","OK")))))))</f>
        <v/>
      </c>
    </row>
    <row r="34">
      <c r="B34" s="35" t="n"/>
      <c r="C34" s="35" t="n"/>
      <c r="D34" s="35" t="n"/>
      <c r="E34" s="36" t="n"/>
      <c r="F34" s="37" t="n"/>
      <c r="G34" s="37" t="n"/>
      <c r="H34" s="38" t="n"/>
      <c r="I34" s="24">
        <f>IF($C34="","",MAX(0,F34-G34))</f>
        <v/>
      </c>
      <c r="J34" s="39">
        <f>IF($C34="","",IF(N(H34)&lt;=0,0,I34/(H34*12)))</f>
        <v/>
      </c>
      <c r="K34" s="24">
        <f>IF($C34="","",J34*12)</f>
        <v/>
      </c>
      <c r="L34" s="40">
        <f>IF($C34="","",IF(OR(E34="",N(H34)&lt;=0),"n/a",EOMONTH(E34,ROUNDUP(H34*12,0)-1)))</f>
        <v/>
      </c>
      <c r="M34" s="24">
        <f>IF($C34="","",IF(E34="",0,J34*MAX(0,MIN($H34*12,(YEAR(($D$4-1))-YEAR($E34))*12+MONTH(($D$4-1))-MONTH($E34)+1))))</f>
        <v/>
      </c>
      <c r="N34" s="24">
        <f>IF($C34="","",IF(OR(E34="",E34&gt;=$D$4),0,F34-M34))</f>
        <v/>
      </c>
      <c r="O34" s="41">
        <f>IF($C34="","",IF(E34="","CHECK: in-service date",IF(F34="","CHECK: cost missing",IF(N(G34)&gt;F34,"CHECK: residual &gt; cost",IF(H34="","CHECK: useful life",IF(H34=0,"Not depreciated",IF(E34&gt;=EDATE($D$4,60),"After Year 5","OK")))))))</f>
        <v/>
      </c>
    </row>
    <row r="35">
      <c r="B35" s="35" t="n"/>
      <c r="C35" s="35" t="n"/>
      <c r="D35" s="35" t="n"/>
      <c r="E35" s="36" t="n"/>
      <c r="F35" s="37" t="n"/>
      <c r="G35" s="37" t="n"/>
      <c r="H35" s="38" t="n"/>
      <c r="I35" s="24">
        <f>IF($C35="","",MAX(0,F35-G35))</f>
        <v/>
      </c>
      <c r="J35" s="39">
        <f>IF($C35="","",IF(N(H35)&lt;=0,0,I35/(H35*12)))</f>
        <v/>
      </c>
      <c r="K35" s="24">
        <f>IF($C35="","",J35*12)</f>
        <v/>
      </c>
      <c r="L35" s="40">
        <f>IF($C35="","",IF(OR(E35="",N(H35)&lt;=0),"n/a",EOMONTH(E35,ROUNDUP(H35*12,0)-1)))</f>
        <v/>
      </c>
      <c r="M35" s="24">
        <f>IF($C35="","",IF(E35="",0,J35*MAX(0,MIN($H35*12,(YEAR(($D$4-1))-YEAR($E35))*12+MONTH(($D$4-1))-MONTH($E35)+1))))</f>
        <v/>
      </c>
      <c r="N35" s="24">
        <f>IF($C35="","",IF(OR(E35="",E35&gt;=$D$4),0,F35-M35))</f>
        <v/>
      </c>
      <c r="O35" s="41">
        <f>IF($C35="","",IF(E35="","CHECK: in-service date",IF(F35="","CHECK: cost missing",IF(N(G35)&gt;F35,"CHECK: residual &gt; cost",IF(H35="","CHECK: useful life",IF(H35=0,"Not depreciated",IF(E35&gt;=EDATE($D$4,60),"After Year 5","OK")))))))</f>
        <v/>
      </c>
    </row>
    <row r="36">
      <c r="B36" s="35" t="n"/>
      <c r="C36" s="35" t="n"/>
      <c r="D36" s="35" t="n"/>
      <c r="E36" s="36" t="n"/>
      <c r="F36" s="37" t="n"/>
      <c r="G36" s="37" t="n"/>
      <c r="H36" s="38" t="n"/>
      <c r="I36" s="24">
        <f>IF($C36="","",MAX(0,F36-G36))</f>
        <v/>
      </c>
      <c r="J36" s="39">
        <f>IF($C36="","",IF(N(H36)&lt;=0,0,I36/(H36*12)))</f>
        <v/>
      </c>
      <c r="K36" s="24">
        <f>IF($C36="","",J36*12)</f>
        <v/>
      </c>
      <c r="L36" s="40">
        <f>IF($C36="","",IF(OR(E36="",N(H36)&lt;=0),"n/a",EOMONTH(E36,ROUNDUP(H36*12,0)-1)))</f>
        <v/>
      </c>
      <c r="M36" s="24">
        <f>IF($C36="","",IF(E36="",0,J36*MAX(0,MIN($H36*12,(YEAR(($D$4-1))-YEAR($E36))*12+MONTH(($D$4-1))-MONTH($E36)+1))))</f>
        <v/>
      </c>
      <c r="N36" s="24">
        <f>IF($C36="","",IF(OR(E36="",E36&gt;=$D$4),0,F36-M36))</f>
        <v/>
      </c>
      <c r="O36" s="41">
        <f>IF($C36="","",IF(E36="","CHECK: in-service date",IF(F36="","CHECK: cost missing",IF(N(G36)&gt;F36,"CHECK: residual &gt; cost",IF(H36="","CHECK: useful life",IF(H36=0,"Not depreciated",IF(E36&gt;=EDATE($D$4,60),"After Year 5","OK")))))))</f>
        <v/>
      </c>
    </row>
    <row r="37">
      <c r="B37" s="25" t="inlineStr">
        <is>
          <t>Total</t>
        </is>
      </c>
      <c r="C37" s="25" t="n"/>
      <c r="D37" s="25" t="n"/>
      <c r="E37" s="25" t="n"/>
      <c r="F37" s="26">
        <f>SUM(F7:F36)</f>
        <v>1465000</v>
      </c>
      <c r="G37" s="26">
        <f>SUM(G7:G36)</f>
        <v>89000</v>
      </c>
      <c r="H37" s="25" t="n"/>
      <c r="I37" s="26">
        <f>SUM(I7:I36)</f>
        <v>1376000</v>
      </c>
      <c r="J37" s="25" t="n"/>
      <c r="K37" s="26">
        <f>SUM(K7:K36)</f>
        <v>165158.333333333</v>
      </c>
      <c r="L37" s="25" t="n"/>
      <c r="M37" s="26">
        <f>SUM(M7:M36)</f>
        <v>252476.388888889</v>
      </c>
      <c r="N37" s="26">
        <f>SUM(N7:N36)</f>
        <v>967523.611111111</v>
      </c>
      <c r="O37" s="42" t="str">
        <f>IF(COUNTIF(O7:O36,"CHECK*")=0,"All rows OK",COUNTIF(O7:O36,"CHECK*")&amp;" row(s) to check")</f>
        <v>All rows OK</v>
      </c>
    </row>
    <row r="39">
      <c r="B39" s="16" t="inlineStr">
        <is>
          <t>Example figures are made up for illustration. Not financial, tax or legal advice.</t>
        </is>
      </c>
    </row>
    <row r="40">
      <c r="B40" s="17" t="inlineStr">
        <is>
          <t>axcellservice.com · Free template · Book a free 30-minute consultation: axcellservice.com/contact</t>
        </is>
      </c>
    </row>
  </sheetData>
  <conditionalFormatting sqref="O7:O36">
    <cfRule type="expression" priority="1" dxfId="0">
      <formula>LEFT(O7,5)="CHECK"</formula>
    </cfRule>
    <cfRule type="cellIs" priority="2" operator="equal" dxfId="1">
      <formula>"OK"</formula>
    </cfRule>
  </conditionalFormatting>
  <conditionalFormatting sqref="O37">
    <cfRule type="cellIs" priority="3" operator="notEqual" dxfId="0">
      <formula>"All rows OK"</formula>
    </cfRule>
  </conditionalFormatting>
  <dataValidations count="4">
    <dataValidation sqref="D7 D8 D9 D10 D11 D12 D13 D14 D15 D16 D17 D18 D19 D20 D21 D22 D23 D24 D25 D26 D27 D28 D29 D30 D31 D32 D33 D34 D35 D36" showDropDown="0" showInputMessage="0" showErrorMessage="1" allowBlank="1" errorTitle="Category" error="Pick a category from the list." type="list">
      <formula1>"Land (not depreciated),Buildings &amp; improvements,Machinery &amp; equipment,Vehicles,Furniture &amp; fittings,IT equipment,Other"</formula1>
    </dataValidation>
    <dataValidation sqref="E7 E8 E9 E10 E11 E12 E13 E14 E15 E16 E17 E18 E19 E20 E21 E22 E23 E24 E25 E26 E27 E28 E29 E30 E31 E32 E33 E34 E35 E36" showDropDown="0" showInputMessage="0" showErrorMessage="1" allowBlank="1" errorTitle="Date needed" error="Enter the date the asset was first used, e.g. 01/09/2026." type="date" operator="greaterThan">
      <formula1>18264</formula1>
    </dataValidation>
    <dataValidation sqref="F7 F8 F9 F10 F11 F12 F13 F14 F15 F16 F17 F18 F19 F20 F21 F22 F23 F24 F25 F26 F27 F28 F29 F30 F31 F32 F33 F34 F35 F36 G7 G8 G9 G10 G11 G12 G13 G14 G15 G16 G17 G18 G19 G20 G21 G22 G23 G24 G25 G26 G27 G28 G29 G30 G31 G32 G33 G34 G35 G36" showDropDown="0" showInputMessage="0" showErrorMessage="1" allowBlank="1" errorTitle="Amount" error="Enter zero or a positive amount." type="decimal" operator="greaterThanOrEqual">
      <formula1>0</formula1>
    </dataValidation>
    <dataValidation sqref="H7 H8 H9 H10 H11 H12 H13 H14 H15 H16 H17 H18 H19 H20 H21 H22 H23 H24 H25 H26 H27 H28 H29 H30 H31 H32 H33 H34 H35 H36" showDropDown="0" showInputMessage="0" showErrorMessage="1" allowBlank="1" errorTitle="Useful life" error="Enter the useful life in years (0 = not depreciated, e.g. land)." type="decimal" operator="between">
      <formula1>0</formula1>
      <formula2>100</formula2>
    </dataValidation>
  </dataValidations>
  <printOptions horizontalCentered="1"/>
  <pageMargins left="0.4" right="0.4" top="1" bottom="1" header="0.5" footer="0.5"/>
  <pageSetup orientation="landscape" paperSize="9" fitToHeight="0" fitToWidth="1"/>
  <headerFooter>
    <oddHeader/>
    <oddFooter>&amp;L&amp;8 Axcell Financial Consulting · axcellservice.com · Free template&amp;R&amp;8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B1:R41"/>
  <sheetViews>
    <sheetView showGridLines="0" workbookViewId="0">
      <pane xSplit="3" ySplit="7" topLeftCell="D8" activePane="bottomRight" state="frozen"/>
      <selection pane="topRight"/>
      <selection pane="bottomLeft"/>
      <selection pane="bottomRight" activeCell="A1" sqref="A1"/>
    </sheetView>
  </sheetViews>
  <sheetFormatPr baseColWidth="8" defaultRowHeight="15"/>
  <cols>
    <col width="2" customWidth="1" min="1" max="1"/>
    <col width="9" customWidth="1" min="2" max="2"/>
    <col width="28" customWidth="1" min="3" max="3"/>
    <col width="11.5" customWidth="1" min="4" max="4"/>
    <col width="11.5" customWidth="1" min="5" max="5"/>
    <col width="11.5" customWidth="1" min="6" max="6"/>
    <col width="11.5" customWidth="1" min="7" max="7"/>
    <col width="11.5" customWidth="1" min="8" max="8"/>
    <col width="11.5" customWidth="1" min="9" max="9"/>
    <col width="11.5" customWidth="1" min="10" max="10"/>
    <col width="11.5" customWidth="1" min="11" max="11"/>
    <col width="11.5" customWidth="1" min="12" max="12"/>
    <col width="11.5" customWidth="1" min="13" max="13"/>
    <col width="11.5" customWidth="1" min="14" max="14"/>
    <col width="11.5" customWidth="1" min="15" max="15"/>
    <col width="11.5" customWidth="1" min="16" max="16"/>
    <col width="11.5" customWidth="1" min="17" max="17"/>
    <col width="11.5" customWidth="1" min="18" max="18"/>
  </cols>
  <sheetData>
    <row r="1" ht="26" customHeight="1">
      <c r="B1" s="18" t="inlineStr">
        <is>
          <t>Depreciation by asset: 5 years</t>
        </is>
      </c>
    </row>
    <row r="2">
      <c r="B2" s="19" t="str">
        <f>"Axcell Financial Consulting · "&amp;'Start here'!$C$19&amp;" · all amounts in "&amp;'Start here'!$C$20</f>
        <v>Axcell Financial Consulting · Example Mfg Co. · all amounts in Your currency</v>
      </c>
    </row>
    <row r="5">
      <c r="D5" s="21" t="inlineStr">
        <is>
          <t>Depreciation charge for the year</t>
        </is>
      </c>
      <c r="E5" s="21" t="n"/>
      <c r="F5" s="21" t="n"/>
      <c r="G5" s="21" t="n"/>
      <c r="H5" s="21" t="n"/>
      <c r="I5" s="43" t="inlineStr">
        <is>
          <t>Accumulated depreciation at year end</t>
        </is>
      </c>
      <c r="J5" s="21" t="n"/>
      <c r="K5" s="21" t="n"/>
      <c r="L5" s="21" t="n"/>
      <c r="M5" s="21" t="n"/>
      <c r="N5" s="43" t="inlineStr">
        <is>
          <t>Net book value (NBV) at year end</t>
        </is>
      </c>
      <c r="O5" s="21" t="n"/>
      <c r="P5" s="21" t="n"/>
      <c r="Q5" s="21" t="n"/>
      <c r="R5" s="21" t="n"/>
    </row>
    <row r="6">
      <c r="B6" s="21" t="inlineStr">
        <is>
          <t>Asset ID</t>
        </is>
      </c>
      <c r="C6" s="21" t="inlineStr">
        <is>
          <t>Asset description</t>
        </is>
      </c>
      <c r="D6" s="21" t="inlineStr">
        <is>
          <t>Year 1</t>
        </is>
      </c>
      <c r="E6" s="21" t="inlineStr">
        <is>
          <t>Year 2</t>
        </is>
      </c>
      <c r="F6" s="21" t="inlineStr">
        <is>
          <t>Year 3</t>
        </is>
      </c>
      <c r="G6" s="21" t="inlineStr">
        <is>
          <t>Year 4</t>
        </is>
      </c>
      <c r="H6" s="21" t="inlineStr">
        <is>
          <t>Year 5</t>
        </is>
      </c>
      <c r="I6" s="43" t="inlineStr">
        <is>
          <t>Year 1</t>
        </is>
      </c>
      <c r="J6" s="21" t="inlineStr">
        <is>
          <t>Year 2</t>
        </is>
      </c>
      <c r="K6" s="21" t="inlineStr">
        <is>
          <t>Year 3</t>
        </is>
      </c>
      <c r="L6" s="21" t="inlineStr">
        <is>
          <t>Year 4</t>
        </is>
      </c>
      <c r="M6" s="21" t="inlineStr">
        <is>
          <t>Year 5</t>
        </is>
      </c>
      <c r="N6" s="43" t="inlineStr">
        <is>
          <t>Year 1</t>
        </is>
      </c>
      <c r="O6" s="21" t="inlineStr">
        <is>
          <t>Year 2</t>
        </is>
      </c>
      <c r="P6" s="21" t="inlineStr">
        <is>
          <t>Year 3</t>
        </is>
      </c>
      <c r="Q6" s="21" t="inlineStr">
        <is>
          <t>Year 4</t>
        </is>
      </c>
      <c r="R6" s="21" t="inlineStr">
        <is>
          <t>Year 5</t>
        </is>
      </c>
    </row>
    <row r="7">
      <c r="C7" s="19" t="inlineStr">
        <is>
          <t>Year ends</t>
        </is>
      </c>
      <c r="D7" s="44">
        <f>EDATE('Asset register'!$D$4,12)-1</f>
        <v>46387.0</v>
      </c>
      <c r="E7" s="44">
        <f>EDATE('Asset register'!$D$4,24)-1</f>
        <v>46752.0</v>
      </c>
      <c r="F7" s="44">
        <f>EDATE('Asset register'!$D$4,36)-1</f>
        <v>47118.0</v>
      </c>
      <c r="G7" s="44">
        <f>EDATE('Asset register'!$D$4,48)-1</f>
        <v>47483.0</v>
      </c>
      <c r="H7" s="44">
        <f>EDATE('Asset register'!$D$4,60)-1</f>
        <v>47848.0</v>
      </c>
      <c r="I7" s="45">
        <f>EDATE('Asset register'!$D$4,12)-1</f>
        <v>46387.0</v>
      </c>
      <c r="J7" s="44">
        <f>EDATE('Asset register'!$D$4,24)-1</f>
        <v>46752.0</v>
      </c>
      <c r="K7" s="44">
        <f>EDATE('Asset register'!$D$4,36)-1</f>
        <v>47118.0</v>
      </c>
      <c r="L7" s="44">
        <f>EDATE('Asset register'!$D$4,48)-1</f>
        <v>47483.0</v>
      </c>
      <c r="M7" s="44">
        <f>EDATE('Asset register'!$D$4,60)-1</f>
        <v>47848.0</v>
      </c>
      <c r="N7" s="45">
        <f>EDATE('Asset register'!$D$4,12)-1</f>
        <v>46387.0</v>
      </c>
      <c r="O7" s="44">
        <f>EDATE('Asset register'!$D$4,24)-1</f>
        <v>46752.0</v>
      </c>
      <c r="P7" s="44">
        <f>EDATE('Asset register'!$D$4,36)-1</f>
        <v>47118.0</v>
      </c>
      <c r="Q7" s="44">
        <f>EDATE('Asset register'!$D$4,48)-1</f>
        <v>47483.0</v>
      </c>
      <c r="R7" s="44">
        <f>EDATE('Asset register'!$D$4,60)-1</f>
        <v>47848.0</v>
      </c>
    </row>
    <row r="8">
      <c r="B8" s="46" t="str">
        <f>IF('Asset register'!B7="","",'Asset register'!B7)</f>
        <v>FA-001</v>
      </c>
      <c r="C8" s="46" t="str">
        <f>IF('Asset register'!C7="","",'Asset register'!C7)</f>
        <v>Office fit-out</v>
      </c>
      <c r="D8" s="24">
        <f>IF('Asset register'!$C7="","",I8-'Asset register'!$M7)</f>
        <v>18000</v>
      </c>
      <c r="E8" s="24">
        <f>IF('Asset register'!$C7="","",J8-I8)</f>
        <v>18000</v>
      </c>
      <c r="F8" s="24">
        <f>IF('Asset register'!$C7="","",K8-J8)</f>
        <v>18000</v>
      </c>
      <c r="G8" s="24">
        <f>IF('Asset register'!$C7="","",L8-K8)</f>
        <v>18000</v>
      </c>
      <c r="H8" s="24">
        <f>IF('Asset register'!$C7="","",M8-L8)</f>
        <v>18000</v>
      </c>
      <c r="I8" s="24">
        <f>IF('Asset register'!$C7="","",IF('Asset register'!$E7="",0,'Asset register'!$J7*MAX(0,MIN('Asset register'!$H7*12,(YEAR(D$7)-YEAR('Asset register'!$E7))*12+MONTH(D$7)-MONTH('Asset register'!$E7)+1))))</f>
        <v>69000</v>
      </c>
      <c r="J8" s="24">
        <f>IF('Asset register'!$C7="","",IF('Asset register'!$E7="",0,'Asset register'!$J7*MAX(0,MIN('Asset register'!$H7*12,(YEAR(E$7)-YEAR('Asset register'!$E7))*12+MONTH(E$7)-MONTH('Asset register'!$E7)+1))))</f>
        <v>87000</v>
      </c>
      <c r="K8" s="24">
        <f>IF('Asset register'!$C7="","",IF('Asset register'!$E7="",0,'Asset register'!$J7*MAX(0,MIN('Asset register'!$H7*12,(YEAR(F$7)-YEAR('Asset register'!$E7))*12+MONTH(F$7)-MONTH('Asset register'!$E7)+1))))</f>
        <v>105000</v>
      </c>
      <c r="L8" s="24">
        <f>IF('Asset register'!$C7="","",IF('Asset register'!$E7="",0,'Asset register'!$J7*MAX(0,MIN('Asset register'!$H7*12,(YEAR(G$7)-YEAR('Asset register'!$E7))*12+MONTH(G$7)-MONTH('Asset register'!$E7)+1))))</f>
        <v>123000</v>
      </c>
      <c r="M8" s="24">
        <f>IF('Asset register'!$C7="","",IF('Asset register'!$E7="",0,'Asset register'!$J7*MAX(0,MIN('Asset register'!$H7*12,(YEAR(H$7)-YEAR('Asset register'!$E7))*12+MONTH(H$7)-MONTH('Asset register'!$E7)+1))))</f>
        <v>141000</v>
      </c>
      <c r="N8" s="24">
        <f>IF('Asset register'!$C7="","",IF(OR('Asset register'!$E7="",'Asset register'!$E7&gt;D$7),0,N('Asset register'!$F7)-I8))</f>
        <v>111000</v>
      </c>
      <c r="O8" s="24">
        <f>IF('Asset register'!$C7="","",IF(OR('Asset register'!$E7="",'Asset register'!$E7&gt;E$7),0,N('Asset register'!$F7)-J8))</f>
        <v>93000</v>
      </c>
      <c r="P8" s="24">
        <f>IF('Asset register'!$C7="","",IF(OR('Asset register'!$E7="",'Asset register'!$E7&gt;F$7),0,N('Asset register'!$F7)-K8))</f>
        <v>75000</v>
      </c>
      <c r="Q8" s="24">
        <f>IF('Asset register'!$C7="","",IF(OR('Asset register'!$E7="",'Asset register'!$E7&gt;G$7),0,N('Asset register'!$F7)-L8))</f>
        <v>57000</v>
      </c>
      <c r="R8" s="24">
        <f>IF('Asset register'!$C7="","",IF(OR('Asset register'!$E7="",'Asset register'!$E7&gt;H$7),0,N('Asset register'!$F7)-M8))</f>
        <v>39000</v>
      </c>
    </row>
    <row r="9">
      <c r="B9" s="46" t="str">
        <f>IF('Asset register'!B8="","",'Asset register'!B8)</f>
        <v>FA-002</v>
      </c>
      <c r="C9" s="46" t="str">
        <f>IF('Asset register'!C8="","",'Asset register'!C8)</f>
        <v>CNC cutting machine</v>
      </c>
      <c r="D9" s="24">
        <f>IF('Asset register'!$C8="","",I9-'Asset register'!$M8)</f>
        <v>50625</v>
      </c>
      <c r="E9" s="24">
        <f>IF('Asset register'!$C8="","",J9-I9)</f>
        <v>50625</v>
      </c>
      <c r="F9" s="24">
        <f>IF('Asset register'!$C8="","",K9-J9)</f>
        <v>50625</v>
      </c>
      <c r="G9" s="24">
        <f>IF('Asset register'!$C8="","",L9-K9)</f>
        <v>50625</v>
      </c>
      <c r="H9" s="24">
        <f>IF('Asset register'!$C8="","",M9-L9)</f>
        <v>50625</v>
      </c>
      <c r="I9" s="24">
        <f>IF('Asset register'!$C8="","",IF('Asset register'!$E8="",0,'Asset register'!$J8*MAX(0,MIN('Asset register'!$H8*12,(YEAR(D$7)-YEAR('Asset register'!$E8))*12+MONTH(D$7)-MONTH('Asset register'!$E8)+1))))</f>
        <v>126562.5</v>
      </c>
      <c r="J9" s="24">
        <f>IF('Asset register'!$C8="","",IF('Asset register'!$E8="",0,'Asset register'!$J8*MAX(0,MIN('Asset register'!$H8*12,(YEAR(E$7)-YEAR('Asset register'!$E8))*12+MONTH(E$7)-MONTH('Asset register'!$E8)+1))))</f>
        <v>177187.5</v>
      </c>
      <c r="K9" s="24">
        <f>IF('Asset register'!$C8="","",IF('Asset register'!$E8="",0,'Asset register'!$J8*MAX(0,MIN('Asset register'!$H8*12,(YEAR(F$7)-YEAR('Asset register'!$E8))*12+MONTH(F$7)-MONTH('Asset register'!$E8)+1))))</f>
        <v>227812.5</v>
      </c>
      <c r="L9" s="24">
        <f>IF('Asset register'!$C8="","",IF('Asset register'!$E8="",0,'Asset register'!$J8*MAX(0,MIN('Asset register'!$H8*12,(YEAR(G$7)-YEAR('Asset register'!$E8))*12+MONTH(G$7)-MONTH('Asset register'!$E8)+1))))</f>
        <v>278437.5</v>
      </c>
      <c r="M9" s="24">
        <f>IF('Asset register'!$C8="","",IF('Asset register'!$E8="",0,'Asset register'!$J8*MAX(0,MIN('Asset register'!$H8*12,(YEAR(H$7)-YEAR('Asset register'!$E8))*12+MONTH(H$7)-MONTH('Asset register'!$E8)+1))))</f>
        <v>329062.5</v>
      </c>
      <c r="N9" s="24">
        <f>IF('Asset register'!$C8="","",IF(OR('Asset register'!$E8="",'Asset register'!$E8&gt;D$7),0,N('Asset register'!$F8)-I9))</f>
        <v>323437.5</v>
      </c>
      <c r="O9" s="24">
        <f>IF('Asset register'!$C8="","",IF(OR('Asset register'!$E8="",'Asset register'!$E8&gt;E$7),0,N('Asset register'!$F8)-J9))</f>
        <v>272812.5</v>
      </c>
      <c r="P9" s="24">
        <f>IF('Asset register'!$C8="","",IF(OR('Asset register'!$E8="",'Asset register'!$E8&gt;F$7),0,N('Asset register'!$F8)-K9))</f>
        <v>222187.5</v>
      </c>
      <c r="Q9" s="24">
        <f>IF('Asset register'!$C8="","",IF(OR('Asset register'!$E8="",'Asset register'!$E8&gt;G$7),0,N('Asset register'!$F8)-L9))</f>
        <v>171562.5</v>
      </c>
      <c r="R9" s="24">
        <f>IF('Asset register'!$C8="","",IF(OR('Asset register'!$E8="",'Asset register'!$E8&gt;H$7),0,N('Asset register'!$F8)-M9))</f>
        <v>120937.5</v>
      </c>
    </row>
    <row r="10">
      <c r="B10" s="46" t="str">
        <f>IF('Asset register'!B9="","",'Asset register'!B9)</f>
        <v>FA-003</v>
      </c>
      <c r="C10" s="46" t="str">
        <f>IF('Asset register'!C9="","",'Asset register'!C9)</f>
        <v>Forklift</v>
      </c>
      <c r="D10" s="24">
        <f>IF('Asset register'!$C9="","",I10-'Asset register'!$M9)</f>
        <v>21600</v>
      </c>
      <c r="E10" s="24">
        <f>IF('Asset register'!$C9="","",J10-I10)</f>
        <v>0</v>
      </c>
      <c r="F10" s="24">
        <f>IF('Asset register'!$C9="","",K10-J10)</f>
        <v>0</v>
      </c>
      <c r="G10" s="24">
        <f>IF('Asset register'!$C9="","",L10-K10)</f>
        <v>0</v>
      </c>
      <c r="H10" s="24">
        <f>IF('Asset register'!$C9="","",M10-L10)</f>
        <v>0</v>
      </c>
      <c r="I10" s="24">
        <f>IF('Asset register'!$C9="","",IF('Asset register'!$E9="",0,'Asset register'!$J9*MAX(0,MIN('Asset register'!$H9*12,(YEAR(D$7)-YEAR('Asset register'!$E9))*12+MONTH(D$7)-MONTH('Asset register'!$E9)+1))))</f>
        <v>108000</v>
      </c>
      <c r="J10" s="24">
        <f>IF('Asset register'!$C9="","",IF('Asset register'!$E9="",0,'Asset register'!$J9*MAX(0,MIN('Asset register'!$H9*12,(YEAR(E$7)-YEAR('Asset register'!$E9))*12+MONTH(E$7)-MONTH('Asset register'!$E9)+1))))</f>
        <v>108000</v>
      </c>
      <c r="K10" s="24">
        <f>IF('Asset register'!$C9="","",IF('Asset register'!$E9="",0,'Asset register'!$J9*MAX(0,MIN('Asset register'!$H9*12,(YEAR(F$7)-YEAR('Asset register'!$E9))*12+MONTH(F$7)-MONTH('Asset register'!$E9)+1))))</f>
        <v>108000</v>
      </c>
      <c r="L10" s="24">
        <f>IF('Asset register'!$C9="","",IF('Asset register'!$E9="",0,'Asset register'!$J9*MAX(0,MIN('Asset register'!$H9*12,(YEAR(G$7)-YEAR('Asset register'!$E9))*12+MONTH(G$7)-MONTH('Asset register'!$E9)+1))))</f>
        <v>108000</v>
      </c>
      <c r="M10" s="24">
        <f>IF('Asset register'!$C9="","",IF('Asset register'!$E9="",0,'Asset register'!$J9*MAX(0,MIN('Asset register'!$H9*12,(YEAR(H$7)-YEAR('Asset register'!$E9))*12+MONTH(H$7)-MONTH('Asset register'!$E9)+1))))</f>
        <v>108000</v>
      </c>
      <c r="N10" s="24">
        <f>IF('Asset register'!$C9="","",IF(OR('Asset register'!$E9="",'Asset register'!$E9&gt;D$7),0,N('Asset register'!$F9)-I10))</f>
        <v>12000</v>
      </c>
      <c r="O10" s="24">
        <f>IF('Asset register'!$C9="","",IF(OR('Asset register'!$E9="",'Asset register'!$E9&gt;E$7),0,N('Asset register'!$F9)-J10))</f>
        <v>12000</v>
      </c>
      <c r="P10" s="24">
        <f>IF('Asset register'!$C9="","",IF(OR('Asset register'!$E9="",'Asset register'!$E9&gt;F$7),0,N('Asset register'!$F9)-K10))</f>
        <v>12000</v>
      </c>
      <c r="Q10" s="24">
        <f>IF('Asset register'!$C9="","",IF(OR('Asset register'!$E9="",'Asset register'!$E9&gt;G$7),0,N('Asset register'!$F9)-L10))</f>
        <v>12000</v>
      </c>
      <c r="R10" s="24">
        <f>IF('Asset register'!$C9="","",IF(OR('Asset register'!$E9="",'Asset register'!$E9&gt;H$7),0,N('Asset register'!$F9)-M10))</f>
        <v>12000</v>
      </c>
    </row>
    <row r="11">
      <c r="B11" s="46" t="str">
        <f>IF('Asset register'!B10="","",'Asset register'!B10)</f>
        <v>FA-004</v>
      </c>
      <c r="C11" s="46" t="str">
        <f>IF('Asset register'!C10="","",'Asset register'!C10)</f>
        <v>Delivery van</v>
      </c>
      <c r="D11" s="24">
        <f>IF('Asset register'!$C10="","",I11-'Asset register'!$M10)</f>
        <v>16000</v>
      </c>
      <c r="E11" s="24">
        <f>IF('Asset register'!$C10="","",J11-I11)</f>
        <v>16000</v>
      </c>
      <c r="F11" s="24">
        <f>IF('Asset register'!$C10="","",K11-J11)</f>
        <v>16000</v>
      </c>
      <c r="G11" s="24">
        <f>IF('Asset register'!$C10="","",L11-K11)</f>
        <v>16000</v>
      </c>
      <c r="H11" s="24">
        <f>IF('Asset register'!$C10="","",M11-L11)</f>
        <v>12000</v>
      </c>
      <c r="I11" s="24">
        <f>IF('Asset register'!$C10="","",IF('Asset register'!$E10="",0,'Asset register'!$J10*MAX(0,MIN('Asset register'!$H10*12,(YEAR(D$7)-YEAR('Asset register'!$E10))*12+MONTH(D$7)-MONTH('Asset register'!$E10)+1))))</f>
        <v>20000</v>
      </c>
      <c r="J11" s="24">
        <f>IF('Asset register'!$C10="","",IF('Asset register'!$E10="",0,'Asset register'!$J10*MAX(0,MIN('Asset register'!$H10*12,(YEAR(E$7)-YEAR('Asset register'!$E10))*12+MONTH(E$7)-MONTH('Asset register'!$E10)+1))))</f>
        <v>36000</v>
      </c>
      <c r="K11" s="24">
        <f>IF('Asset register'!$C10="","",IF('Asset register'!$E10="",0,'Asset register'!$J10*MAX(0,MIN('Asset register'!$H10*12,(YEAR(F$7)-YEAR('Asset register'!$E10))*12+MONTH(F$7)-MONTH('Asset register'!$E10)+1))))</f>
        <v>52000</v>
      </c>
      <c r="L11" s="24">
        <f>IF('Asset register'!$C10="","",IF('Asset register'!$E10="",0,'Asset register'!$J10*MAX(0,MIN('Asset register'!$H10*12,(YEAR(G$7)-YEAR('Asset register'!$E10))*12+MONTH(G$7)-MONTH('Asset register'!$E10)+1))))</f>
        <v>68000</v>
      </c>
      <c r="M11" s="24">
        <f>IF('Asset register'!$C10="","",IF('Asset register'!$E10="",0,'Asset register'!$J10*MAX(0,MIN('Asset register'!$H10*12,(YEAR(H$7)-YEAR('Asset register'!$E10))*12+MONTH(H$7)-MONTH('Asset register'!$E10)+1))))</f>
        <v>80000</v>
      </c>
      <c r="N11" s="24">
        <f>IF('Asset register'!$C10="","",IF(OR('Asset register'!$E10="",'Asset register'!$E10&gt;D$7),0,N('Asset register'!$F10)-I11))</f>
        <v>75000</v>
      </c>
      <c r="O11" s="24">
        <f>IF('Asset register'!$C10="","",IF(OR('Asset register'!$E10="",'Asset register'!$E10&gt;E$7),0,N('Asset register'!$F10)-J11))</f>
        <v>59000</v>
      </c>
      <c r="P11" s="24">
        <f>IF('Asset register'!$C10="","",IF(OR('Asset register'!$E10="",'Asset register'!$E10&gt;F$7),0,N('Asset register'!$F10)-K11))</f>
        <v>43000</v>
      </c>
      <c r="Q11" s="24">
        <f>IF('Asset register'!$C10="","",IF(OR('Asset register'!$E10="",'Asset register'!$E10&gt;G$7),0,N('Asset register'!$F10)-L11))</f>
        <v>27000</v>
      </c>
      <c r="R11" s="24">
        <f>IF('Asset register'!$C10="","",IF(OR('Asset register'!$E10="",'Asset register'!$E10&gt;H$7),0,N('Asset register'!$F10)-M11))</f>
        <v>15000</v>
      </c>
    </row>
    <row r="12">
      <c r="B12" s="46" t="str">
        <f>IF('Asset register'!B11="","",'Asset register'!B11)</f>
        <v>FA-005</v>
      </c>
      <c r="C12" s="46" t="str">
        <f>IF('Asset register'!C11="","",'Asset register'!C11)</f>
        <v>Delivery van (new)</v>
      </c>
      <c r="D12" s="24">
        <f>IF('Asset register'!$C11="","",I12-'Asset register'!$M11)</f>
        <v>5866.66666666667</v>
      </c>
      <c r="E12" s="24">
        <f>IF('Asset register'!$C11="","",J12-I12)</f>
        <v>17600</v>
      </c>
      <c r="F12" s="24">
        <f>IF('Asset register'!$C11="","",K12-J12)</f>
        <v>17600</v>
      </c>
      <c r="G12" s="24">
        <f>IF('Asset register'!$C11="","",L12-K12)</f>
        <v>17600</v>
      </c>
      <c r="H12" s="24">
        <f>IF('Asset register'!$C11="","",M12-L12)</f>
        <v>17600</v>
      </c>
      <c r="I12" s="24">
        <f>IF('Asset register'!$C11="","",IF('Asset register'!$E11="",0,'Asset register'!$J11*MAX(0,MIN('Asset register'!$H11*12,(YEAR(D$7)-YEAR('Asset register'!$E11))*12+MONTH(D$7)-MONTH('Asset register'!$E11)+1))))</f>
        <v>5866.66666666667</v>
      </c>
      <c r="J12" s="24">
        <f>IF('Asset register'!$C11="","",IF('Asset register'!$E11="",0,'Asset register'!$J11*MAX(0,MIN('Asset register'!$H11*12,(YEAR(E$7)-YEAR('Asset register'!$E11))*12+MONTH(E$7)-MONTH('Asset register'!$E11)+1))))</f>
        <v>23466.6666666667</v>
      </c>
      <c r="K12" s="24">
        <f>IF('Asset register'!$C11="","",IF('Asset register'!$E11="",0,'Asset register'!$J11*MAX(0,MIN('Asset register'!$H11*12,(YEAR(F$7)-YEAR('Asset register'!$E11))*12+MONTH(F$7)-MONTH('Asset register'!$E11)+1))))</f>
        <v>41066.6666666667</v>
      </c>
      <c r="L12" s="24">
        <f>IF('Asset register'!$C11="","",IF('Asset register'!$E11="",0,'Asset register'!$J11*MAX(0,MIN('Asset register'!$H11*12,(YEAR(G$7)-YEAR('Asset register'!$E11))*12+MONTH(G$7)-MONTH('Asset register'!$E11)+1))))</f>
        <v>58666.6666666667</v>
      </c>
      <c r="M12" s="24">
        <f>IF('Asset register'!$C11="","",IF('Asset register'!$E11="",0,'Asset register'!$J11*MAX(0,MIN('Asset register'!$H11*12,(YEAR(H$7)-YEAR('Asset register'!$E11))*12+MONTH(H$7)-MONTH('Asset register'!$E11)+1))))</f>
        <v>76266.6666666667</v>
      </c>
      <c r="N12" s="24">
        <f>IF('Asset register'!$C11="","",IF(OR('Asset register'!$E11="",'Asset register'!$E11&gt;D$7),0,N('Asset register'!$F11)-I12))</f>
        <v>99133.3333333333</v>
      </c>
      <c r="O12" s="24">
        <f>IF('Asset register'!$C11="","",IF(OR('Asset register'!$E11="",'Asset register'!$E11&gt;E$7),0,N('Asset register'!$F11)-J12))</f>
        <v>81533.3333333333</v>
      </c>
      <c r="P12" s="24">
        <f>IF('Asset register'!$C11="","",IF(OR('Asset register'!$E11="",'Asset register'!$E11&gt;F$7),0,N('Asset register'!$F11)-K12))</f>
        <v>63933.3333333333</v>
      </c>
      <c r="Q12" s="24">
        <f>IF('Asset register'!$C11="","",IF(OR('Asset register'!$E11="",'Asset register'!$E11&gt;G$7),0,N('Asset register'!$F11)-L12))</f>
        <v>46333.3333333333</v>
      </c>
      <c r="R12" s="24">
        <f>IF('Asset register'!$C11="","",IF(OR('Asset register'!$E11="",'Asset register'!$E11&gt;H$7),0,N('Asset register'!$F11)-M12))</f>
        <v>28733.3333333333</v>
      </c>
    </row>
    <row r="13">
      <c r="B13" s="46" t="str">
        <f>IF('Asset register'!B12="","",'Asset register'!B12)</f>
        <v>FA-006</v>
      </c>
      <c r="C13" s="46" t="str">
        <f>IF('Asset register'!C12="","",'Asset register'!C12)</f>
        <v>Laptops (10 units)</v>
      </c>
      <c r="D13" s="24">
        <f>IF('Asset register'!$C12="","",I13-'Asset register'!$M12)</f>
        <v>13333.3333333333</v>
      </c>
      <c r="E13" s="24">
        <f>IF('Asset register'!$C12="","",J13-I13)</f>
        <v>13333.3333333333</v>
      </c>
      <c r="F13" s="24">
        <f>IF('Asset register'!$C12="","",K13-J13)</f>
        <v>1111.11111111111</v>
      </c>
      <c r="G13" s="24">
        <f>IF('Asset register'!$C12="","",L13-K13)</f>
        <v>0</v>
      </c>
      <c r="H13" s="24">
        <f>IF('Asset register'!$C12="","",M13-L13)</f>
        <v>0</v>
      </c>
      <c r="I13" s="24">
        <f>IF('Asset register'!$C12="","",IF('Asset register'!$E12="",0,'Asset register'!$J12*MAX(0,MIN('Asset register'!$H12*12,(YEAR(D$7)-YEAR('Asset register'!$E12))*12+MONTH(D$7)-MONTH('Asset register'!$E12)+1))))</f>
        <v>25555.5555555556</v>
      </c>
      <c r="J13" s="24">
        <f>IF('Asset register'!$C12="","",IF('Asset register'!$E12="",0,'Asset register'!$J12*MAX(0,MIN('Asset register'!$H12*12,(YEAR(E$7)-YEAR('Asset register'!$E12))*12+MONTH(E$7)-MONTH('Asset register'!$E12)+1))))</f>
        <v>38888.8888888889</v>
      </c>
      <c r="K13" s="24">
        <f>IF('Asset register'!$C12="","",IF('Asset register'!$E12="",0,'Asset register'!$J12*MAX(0,MIN('Asset register'!$H12*12,(YEAR(F$7)-YEAR('Asset register'!$E12))*12+MONTH(F$7)-MONTH('Asset register'!$E12)+1))))</f>
        <v>40000</v>
      </c>
      <c r="L13" s="24">
        <f>IF('Asset register'!$C12="","",IF('Asset register'!$E12="",0,'Asset register'!$J12*MAX(0,MIN('Asset register'!$H12*12,(YEAR(G$7)-YEAR('Asset register'!$E12))*12+MONTH(G$7)-MONTH('Asset register'!$E12)+1))))</f>
        <v>40000</v>
      </c>
      <c r="M13" s="24">
        <f>IF('Asset register'!$C12="","",IF('Asset register'!$E12="",0,'Asset register'!$J12*MAX(0,MIN('Asset register'!$H12*12,(YEAR(H$7)-YEAR('Asset register'!$E12))*12+MONTH(H$7)-MONTH('Asset register'!$E12)+1))))</f>
        <v>40000</v>
      </c>
      <c r="N13" s="24">
        <f>IF('Asset register'!$C12="","",IF(OR('Asset register'!$E12="",'Asset register'!$E12&gt;D$7),0,N('Asset register'!$F12)-I13))</f>
        <v>14444.4444444444</v>
      </c>
      <c r="O13" s="24">
        <f>IF('Asset register'!$C12="","",IF(OR('Asset register'!$E12="",'Asset register'!$E12&gt;E$7),0,N('Asset register'!$F12)-J13))</f>
        <v>1111.11111111111</v>
      </c>
      <c r="P13" s="24">
        <f>IF('Asset register'!$C12="","",IF(OR('Asset register'!$E12="",'Asset register'!$E12&gt;F$7),0,N('Asset register'!$F12)-K13))</f>
        <v>0</v>
      </c>
      <c r="Q13" s="24">
        <f>IF('Asset register'!$C12="","",IF(OR('Asset register'!$E12="",'Asset register'!$E12&gt;G$7),0,N('Asset register'!$F12)-L13))</f>
        <v>0</v>
      </c>
      <c r="R13" s="24">
        <f>IF('Asset register'!$C12="","",IF(OR('Asset register'!$E12="",'Asset register'!$E12&gt;H$7),0,N('Asset register'!$F12)-M13))</f>
        <v>0</v>
      </c>
    </row>
    <row r="14">
      <c r="B14" s="46" t="str">
        <f>IF('Asset register'!B13="","",'Asset register'!B13)</f>
        <v>FA-007</v>
      </c>
      <c r="C14" s="46" t="str">
        <f>IF('Asset register'!C13="","",'Asset register'!C13)</f>
        <v>Server and network</v>
      </c>
      <c r="D14" s="24">
        <f>IF('Asset register'!$C13="","",I14-'Asset register'!$M13)</f>
        <v>11250</v>
      </c>
      <c r="E14" s="24">
        <f>IF('Asset register'!$C13="","",J14-I14)</f>
        <v>15000</v>
      </c>
      <c r="F14" s="24">
        <f>IF('Asset register'!$C13="","",K14-J14)</f>
        <v>15000</v>
      </c>
      <c r="G14" s="24">
        <f>IF('Asset register'!$C13="","",L14-K14)</f>
        <v>15000</v>
      </c>
      <c r="H14" s="24">
        <f>IF('Asset register'!$C13="","",M14-L14)</f>
        <v>3750</v>
      </c>
      <c r="I14" s="24">
        <f>IF('Asset register'!$C13="","",IF('Asset register'!$E13="",0,'Asset register'!$J13*MAX(0,MIN('Asset register'!$H13*12,(YEAR(D$7)-YEAR('Asset register'!$E13))*12+MONTH(D$7)-MONTH('Asset register'!$E13)+1))))</f>
        <v>11250</v>
      </c>
      <c r="J14" s="24">
        <f>IF('Asset register'!$C13="","",IF('Asset register'!$E13="",0,'Asset register'!$J13*MAX(0,MIN('Asset register'!$H13*12,(YEAR(E$7)-YEAR('Asset register'!$E13))*12+MONTH(E$7)-MONTH('Asset register'!$E13)+1))))</f>
        <v>26250</v>
      </c>
      <c r="K14" s="24">
        <f>IF('Asset register'!$C13="","",IF('Asset register'!$E13="",0,'Asset register'!$J13*MAX(0,MIN('Asset register'!$H13*12,(YEAR(F$7)-YEAR('Asset register'!$E13))*12+MONTH(F$7)-MONTH('Asset register'!$E13)+1))))</f>
        <v>41250</v>
      </c>
      <c r="L14" s="24">
        <f>IF('Asset register'!$C13="","",IF('Asset register'!$E13="",0,'Asset register'!$J13*MAX(0,MIN('Asset register'!$H13*12,(YEAR(G$7)-YEAR('Asset register'!$E13))*12+MONTH(G$7)-MONTH('Asset register'!$E13)+1))))</f>
        <v>56250</v>
      </c>
      <c r="M14" s="24">
        <f>IF('Asset register'!$C13="","",IF('Asset register'!$E13="",0,'Asset register'!$J13*MAX(0,MIN('Asset register'!$H13*12,(YEAR(H$7)-YEAR('Asset register'!$E13))*12+MONTH(H$7)-MONTH('Asset register'!$E13)+1))))</f>
        <v>60000</v>
      </c>
      <c r="N14" s="24">
        <f>IF('Asset register'!$C13="","",IF(OR('Asset register'!$E13="",'Asset register'!$E13&gt;D$7),0,N('Asset register'!$F13)-I14))</f>
        <v>48750</v>
      </c>
      <c r="O14" s="24">
        <f>IF('Asset register'!$C13="","",IF(OR('Asset register'!$E13="",'Asset register'!$E13&gt;E$7),0,N('Asset register'!$F13)-J14))</f>
        <v>33750</v>
      </c>
      <c r="P14" s="24">
        <f>IF('Asset register'!$C13="","",IF(OR('Asset register'!$E13="",'Asset register'!$E13&gt;F$7),0,N('Asset register'!$F13)-K14))</f>
        <v>18750</v>
      </c>
      <c r="Q14" s="24">
        <f>IF('Asset register'!$C13="","",IF(OR('Asset register'!$E13="",'Asset register'!$E13&gt;G$7),0,N('Asset register'!$F13)-L14))</f>
        <v>3750</v>
      </c>
      <c r="R14" s="24">
        <f>IF('Asset register'!$C13="","",IF(OR('Asset register'!$E13="",'Asset register'!$E13&gt;H$7),0,N('Asset register'!$F13)-M14))</f>
        <v>0</v>
      </c>
    </row>
    <row r="15">
      <c r="B15" s="46" t="str">
        <f>IF('Asset register'!B14="","",'Asset register'!B14)</f>
        <v>FA-008</v>
      </c>
      <c r="C15" s="46" t="str">
        <f>IF('Asset register'!C14="","",'Asset register'!C14)</f>
        <v>Office furniture</v>
      </c>
      <c r="D15" s="24">
        <f>IF('Asset register'!$C14="","",I15-'Asset register'!$M14)</f>
        <v>5000</v>
      </c>
      <c r="E15" s="24">
        <f>IF('Asset register'!$C14="","",J15-I15)</f>
        <v>5000</v>
      </c>
      <c r="F15" s="24">
        <f>IF('Asset register'!$C14="","",K15-J15)</f>
        <v>2083.33333333333</v>
      </c>
      <c r="G15" s="24">
        <f>IF('Asset register'!$C14="","",L15-K15)</f>
        <v>0</v>
      </c>
      <c r="H15" s="24">
        <f>IF('Asset register'!$C14="","",M15-L15)</f>
        <v>0</v>
      </c>
      <c r="I15" s="24">
        <f>IF('Asset register'!$C14="","",IF('Asset register'!$E14="",0,'Asset register'!$J14*MAX(0,MIN('Asset register'!$H14*12,(YEAR(D$7)-YEAR('Asset register'!$E14))*12+MONTH(D$7)-MONTH('Asset register'!$E14)+1))))</f>
        <v>27916.6666666667</v>
      </c>
      <c r="J15" s="24">
        <f>IF('Asset register'!$C14="","",IF('Asset register'!$E14="",0,'Asset register'!$J14*MAX(0,MIN('Asset register'!$H14*12,(YEAR(E$7)-YEAR('Asset register'!$E14))*12+MONTH(E$7)-MONTH('Asset register'!$E14)+1))))</f>
        <v>32916.6666666667</v>
      </c>
      <c r="K15" s="24">
        <f>IF('Asset register'!$C14="","",IF('Asset register'!$E14="",0,'Asset register'!$J14*MAX(0,MIN('Asset register'!$H14*12,(YEAR(F$7)-YEAR('Asset register'!$E14))*12+MONTH(F$7)-MONTH('Asset register'!$E14)+1))))</f>
        <v>35000</v>
      </c>
      <c r="L15" s="24">
        <f>IF('Asset register'!$C14="","",IF('Asset register'!$E14="",0,'Asset register'!$J14*MAX(0,MIN('Asset register'!$H14*12,(YEAR(G$7)-YEAR('Asset register'!$E14))*12+MONTH(G$7)-MONTH('Asset register'!$E14)+1))))</f>
        <v>35000</v>
      </c>
      <c r="M15" s="24">
        <f>IF('Asset register'!$C14="","",IF('Asset register'!$E14="",0,'Asset register'!$J14*MAX(0,MIN('Asset register'!$H14*12,(YEAR(H$7)-YEAR('Asset register'!$E14))*12+MONTH(H$7)-MONTH('Asset register'!$E14)+1))))</f>
        <v>35000</v>
      </c>
      <c r="N15" s="24">
        <f>IF('Asset register'!$C14="","",IF(OR('Asset register'!$E14="",'Asset register'!$E14&gt;D$7),0,N('Asset register'!$F14)-I15))</f>
        <v>7083.33333333333</v>
      </c>
      <c r="O15" s="24">
        <f>IF('Asset register'!$C14="","",IF(OR('Asset register'!$E14="",'Asset register'!$E14&gt;E$7),0,N('Asset register'!$F14)-J15))</f>
        <v>2083.33333333333</v>
      </c>
      <c r="P15" s="24">
        <f>IF('Asset register'!$C14="","",IF(OR('Asset register'!$E14="",'Asset register'!$E14&gt;F$7),0,N('Asset register'!$F14)-K15))</f>
        <v>0</v>
      </c>
      <c r="Q15" s="24">
        <f>IF('Asset register'!$C14="","",IF(OR('Asset register'!$E14="",'Asset register'!$E14&gt;G$7),0,N('Asset register'!$F14)-L15))</f>
        <v>0</v>
      </c>
      <c r="R15" s="24">
        <f>IF('Asset register'!$C14="","",IF(OR('Asset register'!$E14="",'Asset register'!$E14&gt;H$7),0,N('Asset register'!$F14)-M15))</f>
        <v>0</v>
      </c>
    </row>
    <row r="16">
      <c r="B16" s="46" t="str">
        <f>IF('Asset register'!B15="","",'Asset register'!B15)</f>
        <v>FA-009</v>
      </c>
      <c r="C16" s="46" t="str">
        <f>IF('Asset register'!C15="","",'Asset register'!C15)</f>
        <v>Warehouse racking (planned)</v>
      </c>
      <c r="D16" s="24">
        <f>IF('Asset register'!$C15="","",I16-'Asset register'!$M15)</f>
        <v>0</v>
      </c>
      <c r="E16" s="24">
        <f>IF('Asset register'!$C15="","",J16-I16)</f>
        <v>6666.66666666667</v>
      </c>
      <c r="F16" s="24">
        <f>IF('Asset register'!$C15="","",K16-J16)</f>
        <v>8000</v>
      </c>
      <c r="G16" s="24">
        <f>IF('Asset register'!$C15="","",L16-K16)</f>
        <v>8000</v>
      </c>
      <c r="H16" s="24">
        <f>IF('Asset register'!$C15="","",M16-L16)</f>
        <v>8000</v>
      </c>
      <c r="I16" s="24">
        <f>IF('Asset register'!$C15="","",IF('Asset register'!$E15="",0,'Asset register'!$J15*MAX(0,MIN('Asset register'!$H15*12,(YEAR(D$7)-YEAR('Asset register'!$E15))*12+MONTH(D$7)-MONTH('Asset register'!$E15)+1))))</f>
        <v>0</v>
      </c>
      <c r="J16" s="24">
        <f>IF('Asset register'!$C15="","",IF('Asset register'!$E15="",0,'Asset register'!$J15*MAX(0,MIN('Asset register'!$H15*12,(YEAR(E$7)-YEAR('Asset register'!$E15))*12+MONTH(E$7)-MONTH('Asset register'!$E15)+1))))</f>
        <v>6666.66666666667</v>
      </c>
      <c r="K16" s="24">
        <f>IF('Asset register'!$C15="","",IF('Asset register'!$E15="",0,'Asset register'!$J15*MAX(0,MIN('Asset register'!$H15*12,(YEAR(F$7)-YEAR('Asset register'!$E15))*12+MONTH(F$7)-MONTH('Asset register'!$E15)+1))))</f>
        <v>14666.6666666667</v>
      </c>
      <c r="L16" s="24">
        <f>IF('Asset register'!$C15="","",IF('Asset register'!$E15="",0,'Asset register'!$J15*MAX(0,MIN('Asset register'!$H15*12,(YEAR(G$7)-YEAR('Asset register'!$E15))*12+MONTH(G$7)-MONTH('Asset register'!$E15)+1))))</f>
        <v>22666.6666666667</v>
      </c>
      <c r="M16" s="24">
        <f>IF('Asset register'!$C15="","",IF('Asset register'!$E15="",0,'Asset register'!$J15*MAX(0,MIN('Asset register'!$H15*12,(YEAR(H$7)-YEAR('Asset register'!$E15))*12+MONTH(H$7)-MONTH('Asset register'!$E15)+1))))</f>
        <v>30666.6666666667</v>
      </c>
      <c r="N16" s="24">
        <f>IF('Asset register'!$C15="","",IF(OR('Asset register'!$E15="",'Asset register'!$E15&gt;D$7),0,N('Asset register'!$F15)-I16))</f>
        <v>0</v>
      </c>
      <c r="O16" s="24">
        <f>IF('Asset register'!$C15="","",IF(OR('Asset register'!$E15="",'Asset register'!$E15&gt;E$7),0,N('Asset register'!$F15)-J16))</f>
        <v>73333.3333333333</v>
      </c>
      <c r="P16" s="24">
        <f>IF('Asset register'!$C15="","",IF(OR('Asset register'!$E15="",'Asset register'!$E15&gt;F$7),0,N('Asset register'!$F15)-K16))</f>
        <v>65333.3333333333</v>
      </c>
      <c r="Q16" s="24">
        <f>IF('Asset register'!$C15="","",IF(OR('Asset register'!$E15="",'Asset register'!$E15&gt;G$7),0,N('Asset register'!$F15)-L16))</f>
        <v>57333.3333333333</v>
      </c>
      <c r="R16" s="24">
        <f>IF('Asset register'!$C15="","",IF(OR('Asset register'!$E15="",'Asset register'!$E15&gt;H$7),0,N('Asset register'!$F15)-M16))</f>
        <v>49333.3333333333</v>
      </c>
    </row>
    <row r="17">
      <c r="B17" s="46" t="str">
        <f>IF('Asset register'!B16="","",'Asset register'!B16)</f>
        <v>FA-010</v>
      </c>
      <c r="C17" s="46" t="str">
        <f>IF('Asset register'!C16="","",'Asset register'!C16)</f>
        <v>Land plot</v>
      </c>
      <c r="D17" s="24">
        <f>IF('Asset register'!$C16="","",I17-'Asset register'!$M16)</f>
        <v>0</v>
      </c>
      <c r="E17" s="24">
        <f>IF('Asset register'!$C16="","",J17-I17)</f>
        <v>0</v>
      </c>
      <c r="F17" s="24">
        <f>IF('Asset register'!$C16="","",K17-J17)</f>
        <v>0</v>
      </c>
      <c r="G17" s="24">
        <f>IF('Asset register'!$C16="","",L17-K17)</f>
        <v>0</v>
      </c>
      <c r="H17" s="24">
        <f>IF('Asset register'!$C16="","",M17-L17)</f>
        <v>0</v>
      </c>
      <c r="I17" s="24">
        <f>IF('Asset register'!$C16="","",IF('Asset register'!$E16="",0,'Asset register'!$J16*MAX(0,MIN('Asset register'!$H16*12,(YEAR(D$7)-YEAR('Asset register'!$E16))*12+MONTH(D$7)-MONTH('Asset register'!$E16)+1))))</f>
        <v>0</v>
      </c>
      <c r="J17" s="24">
        <f>IF('Asset register'!$C16="","",IF('Asset register'!$E16="",0,'Asset register'!$J16*MAX(0,MIN('Asset register'!$H16*12,(YEAR(E$7)-YEAR('Asset register'!$E16))*12+MONTH(E$7)-MONTH('Asset register'!$E16)+1))))</f>
        <v>0</v>
      </c>
      <c r="K17" s="24">
        <f>IF('Asset register'!$C16="","",IF('Asset register'!$E16="",0,'Asset register'!$J16*MAX(0,MIN('Asset register'!$H16*12,(YEAR(F$7)-YEAR('Asset register'!$E16))*12+MONTH(F$7)-MONTH('Asset register'!$E16)+1))))</f>
        <v>0</v>
      </c>
      <c r="L17" s="24">
        <f>IF('Asset register'!$C16="","",IF('Asset register'!$E16="",0,'Asset register'!$J16*MAX(0,MIN('Asset register'!$H16*12,(YEAR(G$7)-YEAR('Asset register'!$E16))*12+MONTH(G$7)-MONTH('Asset register'!$E16)+1))))</f>
        <v>0</v>
      </c>
      <c r="M17" s="24">
        <f>IF('Asset register'!$C16="","",IF('Asset register'!$E16="",0,'Asset register'!$J16*MAX(0,MIN('Asset register'!$H16*12,(YEAR(H$7)-YEAR('Asset register'!$E16))*12+MONTH(H$7)-MONTH('Asset register'!$E16)+1))))</f>
        <v>0</v>
      </c>
      <c r="N17" s="24">
        <f>IF('Asset register'!$C16="","",IF(OR('Asset register'!$E16="",'Asset register'!$E16&gt;D$7),0,N('Asset register'!$F16)-I17))</f>
        <v>300000</v>
      </c>
      <c r="O17" s="24">
        <f>IF('Asset register'!$C16="","",IF(OR('Asset register'!$E16="",'Asset register'!$E16&gt;E$7),0,N('Asset register'!$F16)-J17))</f>
        <v>300000</v>
      </c>
      <c r="P17" s="24">
        <f>IF('Asset register'!$C16="","",IF(OR('Asset register'!$E16="",'Asset register'!$E16&gt;F$7),0,N('Asset register'!$F16)-K17))</f>
        <v>300000</v>
      </c>
      <c r="Q17" s="24">
        <f>IF('Asset register'!$C16="","",IF(OR('Asset register'!$E16="",'Asset register'!$E16&gt;G$7),0,N('Asset register'!$F16)-L17))</f>
        <v>300000</v>
      </c>
      <c r="R17" s="24">
        <f>IF('Asset register'!$C16="","",IF(OR('Asset register'!$E16="",'Asset register'!$E16&gt;H$7),0,N('Asset register'!$F16)-M17))</f>
        <v>300000</v>
      </c>
    </row>
    <row r="18">
      <c r="B18" s="46">
        <f>IF('Asset register'!B17="","",'Asset register'!B17)</f>
        <v/>
      </c>
      <c r="C18" s="46">
        <f>IF('Asset register'!C17="","",'Asset register'!C17)</f>
        <v/>
      </c>
      <c r="D18" s="24">
        <f>IF('Asset register'!$C17="","",I18-'Asset register'!$M17)</f>
        <v/>
      </c>
      <c r="E18" s="24">
        <f>IF('Asset register'!$C17="","",J18-I18)</f>
        <v/>
      </c>
      <c r="F18" s="24">
        <f>IF('Asset register'!$C17="","",K18-J18)</f>
        <v/>
      </c>
      <c r="G18" s="24">
        <f>IF('Asset register'!$C17="","",L18-K18)</f>
        <v/>
      </c>
      <c r="H18" s="24">
        <f>IF('Asset register'!$C17="","",M18-L18)</f>
        <v/>
      </c>
      <c r="I18" s="24">
        <f>IF('Asset register'!$C17="","",IF('Asset register'!$E17="",0,'Asset register'!$J17*MAX(0,MIN('Asset register'!$H17*12,(YEAR(D$7)-YEAR('Asset register'!$E17))*12+MONTH(D$7)-MONTH('Asset register'!$E17)+1))))</f>
        <v/>
      </c>
      <c r="J18" s="24">
        <f>IF('Asset register'!$C17="","",IF('Asset register'!$E17="",0,'Asset register'!$J17*MAX(0,MIN('Asset register'!$H17*12,(YEAR(E$7)-YEAR('Asset register'!$E17))*12+MONTH(E$7)-MONTH('Asset register'!$E17)+1))))</f>
        <v/>
      </c>
      <c r="K18" s="24">
        <f>IF('Asset register'!$C17="","",IF('Asset register'!$E17="",0,'Asset register'!$J17*MAX(0,MIN('Asset register'!$H17*12,(YEAR(F$7)-YEAR('Asset register'!$E17))*12+MONTH(F$7)-MONTH('Asset register'!$E17)+1))))</f>
        <v/>
      </c>
      <c r="L18" s="24">
        <f>IF('Asset register'!$C17="","",IF('Asset register'!$E17="",0,'Asset register'!$J17*MAX(0,MIN('Asset register'!$H17*12,(YEAR(G$7)-YEAR('Asset register'!$E17))*12+MONTH(G$7)-MONTH('Asset register'!$E17)+1))))</f>
        <v/>
      </c>
      <c r="M18" s="24">
        <f>IF('Asset register'!$C17="","",IF('Asset register'!$E17="",0,'Asset register'!$J17*MAX(0,MIN('Asset register'!$H17*12,(YEAR(H$7)-YEAR('Asset register'!$E17))*12+MONTH(H$7)-MONTH('Asset register'!$E17)+1))))</f>
        <v/>
      </c>
      <c r="N18" s="24">
        <f>IF('Asset register'!$C17="","",IF(OR('Asset register'!$E17="",'Asset register'!$E17&gt;D$7),0,N('Asset register'!$F17)-I18))</f>
        <v/>
      </c>
      <c r="O18" s="24">
        <f>IF('Asset register'!$C17="","",IF(OR('Asset register'!$E17="",'Asset register'!$E17&gt;E$7),0,N('Asset register'!$F17)-J18))</f>
        <v/>
      </c>
      <c r="P18" s="24">
        <f>IF('Asset register'!$C17="","",IF(OR('Asset register'!$E17="",'Asset register'!$E17&gt;F$7),0,N('Asset register'!$F17)-K18))</f>
        <v/>
      </c>
      <c r="Q18" s="24">
        <f>IF('Asset register'!$C17="","",IF(OR('Asset register'!$E17="",'Asset register'!$E17&gt;G$7),0,N('Asset register'!$F17)-L18))</f>
        <v/>
      </c>
      <c r="R18" s="24">
        <f>IF('Asset register'!$C17="","",IF(OR('Asset register'!$E17="",'Asset register'!$E17&gt;H$7),0,N('Asset register'!$F17)-M18))</f>
        <v/>
      </c>
    </row>
    <row r="19">
      <c r="B19" s="46">
        <f>IF('Asset register'!B18="","",'Asset register'!B18)</f>
        <v/>
      </c>
      <c r="C19" s="46">
        <f>IF('Asset register'!C18="","",'Asset register'!C18)</f>
        <v/>
      </c>
      <c r="D19" s="24">
        <f>IF('Asset register'!$C18="","",I19-'Asset register'!$M18)</f>
        <v/>
      </c>
      <c r="E19" s="24">
        <f>IF('Asset register'!$C18="","",J19-I19)</f>
        <v/>
      </c>
      <c r="F19" s="24">
        <f>IF('Asset register'!$C18="","",K19-J19)</f>
        <v/>
      </c>
      <c r="G19" s="24">
        <f>IF('Asset register'!$C18="","",L19-K19)</f>
        <v/>
      </c>
      <c r="H19" s="24">
        <f>IF('Asset register'!$C18="","",M19-L19)</f>
        <v/>
      </c>
      <c r="I19" s="24">
        <f>IF('Asset register'!$C18="","",IF('Asset register'!$E18="",0,'Asset register'!$J18*MAX(0,MIN('Asset register'!$H18*12,(YEAR(D$7)-YEAR('Asset register'!$E18))*12+MONTH(D$7)-MONTH('Asset register'!$E18)+1))))</f>
        <v/>
      </c>
      <c r="J19" s="24">
        <f>IF('Asset register'!$C18="","",IF('Asset register'!$E18="",0,'Asset register'!$J18*MAX(0,MIN('Asset register'!$H18*12,(YEAR(E$7)-YEAR('Asset register'!$E18))*12+MONTH(E$7)-MONTH('Asset register'!$E18)+1))))</f>
        <v/>
      </c>
      <c r="K19" s="24">
        <f>IF('Asset register'!$C18="","",IF('Asset register'!$E18="",0,'Asset register'!$J18*MAX(0,MIN('Asset register'!$H18*12,(YEAR(F$7)-YEAR('Asset register'!$E18))*12+MONTH(F$7)-MONTH('Asset register'!$E18)+1))))</f>
        <v/>
      </c>
      <c r="L19" s="24">
        <f>IF('Asset register'!$C18="","",IF('Asset register'!$E18="",0,'Asset register'!$J18*MAX(0,MIN('Asset register'!$H18*12,(YEAR(G$7)-YEAR('Asset register'!$E18))*12+MONTH(G$7)-MONTH('Asset register'!$E18)+1))))</f>
        <v/>
      </c>
      <c r="M19" s="24">
        <f>IF('Asset register'!$C18="","",IF('Asset register'!$E18="",0,'Asset register'!$J18*MAX(0,MIN('Asset register'!$H18*12,(YEAR(H$7)-YEAR('Asset register'!$E18))*12+MONTH(H$7)-MONTH('Asset register'!$E18)+1))))</f>
        <v/>
      </c>
      <c r="N19" s="24">
        <f>IF('Asset register'!$C18="","",IF(OR('Asset register'!$E18="",'Asset register'!$E18&gt;D$7),0,N('Asset register'!$F18)-I19))</f>
        <v/>
      </c>
      <c r="O19" s="24">
        <f>IF('Asset register'!$C18="","",IF(OR('Asset register'!$E18="",'Asset register'!$E18&gt;E$7),0,N('Asset register'!$F18)-J19))</f>
        <v/>
      </c>
      <c r="P19" s="24">
        <f>IF('Asset register'!$C18="","",IF(OR('Asset register'!$E18="",'Asset register'!$E18&gt;F$7),0,N('Asset register'!$F18)-K19))</f>
        <v/>
      </c>
      <c r="Q19" s="24">
        <f>IF('Asset register'!$C18="","",IF(OR('Asset register'!$E18="",'Asset register'!$E18&gt;G$7),0,N('Asset register'!$F18)-L19))</f>
        <v/>
      </c>
      <c r="R19" s="24">
        <f>IF('Asset register'!$C18="","",IF(OR('Asset register'!$E18="",'Asset register'!$E18&gt;H$7),0,N('Asset register'!$F18)-M19))</f>
        <v/>
      </c>
    </row>
    <row r="20">
      <c r="B20" s="46">
        <f>IF('Asset register'!B19="","",'Asset register'!B19)</f>
        <v/>
      </c>
      <c r="C20" s="46">
        <f>IF('Asset register'!C19="","",'Asset register'!C19)</f>
        <v/>
      </c>
      <c r="D20" s="24">
        <f>IF('Asset register'!$C19="","",I20-'Asset register'!$M19)</f>
        <v/>
      </c>
      <c r="E20" s="24">
        <f>IF('Asset register'!$C19="","",J20-I20)</f>
        <v/>
      </c>
      <c r="F20" s="24">
        <f>IF('Asset register'!$C19="","",K20-J20)</f>
        <v/>
      </c>
      <c r="G20" s="24">
        <f>IF('Asset register'!$C19="","",L20-K20)</f>
        <v/>
      </c>
      <c r="H20" s="24">
        <f>IF('Asset register'!$C19="","",M20-L20)</f>
        <v/>
      </c>
      <c r="I20" s="24">
        <f>IF('Asset register'!$C19="","",IF('Asset register'!$E19="",0,'Asset register'!$J19*MAX(0,MIN('Asset register'!$H19*12,(YEAR(D$7)-YEAR('Asset register'!$E19))*12+MONTH(D$7)-MONTH('Asset register'!$E19)+1))))</f>
        <v/>
      </c>
      <c r="J20" s="24">
        <f>IF('Asset register'!$C19="","",IF('Asset register'!$E19="",0,'Asset register'!$J19*MAX(0,MIN('Asset register'!$H19*12,(YEAR(E$7)-YEAR('Asset register'!$E19))*12+MONTH(E$7)-MONTH('Asset register'!$E19)+1))))</f>
        <v/>
      </c>
      <c r="K20" s="24">
        <f>IF('Asset register'!$C19="","",IF('Asset register'!$E19="",0,'Asset register'!$J19*MAX(0,MIN('Asset register'!$H19*12,(YEAR(F$7)-YEAR('Asset register'!$E19))*12+MONTH(F$7)-MONTH('Asset register'!$E19)+1))))</f>
        <v/>
      </c>
      <c r="L20" s="24">
        <f>IF('Asset register'!$C19="","",IF('Asset register'!$E19="",0,'Asset register'!$J19*MAX(0,MIN('Asset register'!$H19*12,(YEAR(G$7)-YEAR('Asset register'!$E19))*12+MONTH(G$7)-MONTH('Asset register'!$E19)+1))))</f>
        <v/>
      </c>
      <c r="M20" s="24">
        <f>IF('Asset register'!$C19="","",IF('Asset register'!$E19="",0,'Asset register'!$J19*MAX(0,MIN('Asset register'!$H19*12,(YEAR(H$7)-YEAR('Asset register'!$E19))*12+MONTH(H$7)-MONTH('Asset register'!$E19)+1))))</f>
        <v/>
      </c>
      <c r="N20" s="24">
        <f>IF('Asset register'!$C19="","",IF(OR('Asset register'!$E19="",'Asset register'!$E19&gt;D$7),0,N('Asset register'!$F19)-I20))</f>
        <v/>
      </c>
      <c r="O20" s="24">
        <f>IF('Asset register'!$C19="","",IF(OR('Asset register'!$E19="",'Asset register'!$E19&gt;E$7),0,N('Asset register'!$F19)-J20))</f>
        <v/>
      </c>
      <c r="P20" s="24">
        <f>IF('Asset register'!$C19="","",IF(OR('Asset register'!$E19="",'Asset register'!$E19&gt;F$7),0,N('Asset register'!$F19)-K20))</f>
        <v/>
      </c>
      <c r="Q20" s="24">
        <f>IF('Asset register'!$C19="","",IF(OR('Asset register'!$E19="",'Asset register'!$E19&gt;G$7),0,N('Asset register'!$F19)-L20))</f>
        <v/>
      </c>
      <c r="R20" s="24">
        <f>IF('Asset register'!$C19="","",IF(OR('Asset register'!$E19="",'Asset register'!$E19&gt;H$7),0,N('Asset register'!$F19)-M20))</f>
        <v/>
      </c>
    </row>
    <row r="21">
      <c r="B21" s="46">
        <f>IF('Asset register'!B20="","",'Asset register'!B20)</f>
        <v/>
      </c>
      <c r="C21" s="46">
        <f>IF('Asset register'!C20="","",'Asset register'!C20)</f>
        <v/>
      </c>
      <c r="D21" s="24">
        <f>IF('Asset register'!$C20="","",I21-'Asset register'!$M20)</f>
        <v/>
      </c>
      <c r="E21" s="24">
        <f>IF('Asset register'!$C20="","",J21-I21)</f>
        <v/>
      </c>
      <c r="F21" s="24">
        <f>IF('Asset register'!$C20="","",K21-J21)</f>
        <v/>
      </c>
      <c r="G21" s="24">
        <f>IF('Asset register'!$C20="","",L21-K21)</f>
        <v/>
      </c>
      <c r="H21" s="24">
        <f>IF('Asset register'!$C20="","",M21-L21)</f>
        <v/>
      </c>
      <c r="I21" s="24">
        <f>IF('Asset register'!$C20="","",IF('Asset register'!$E20="",0,'Asset register'!$J20*MAX(0,MIN('Asset register'!$H20*12,(YEAR(D$7)-YEAR('Asset register'!$E20))*12+MONTH(D$7)-MONTH('Asset register'!$E20)+1))))</f>
        <v/>
      </c>
      <c r="J21" s="24">
        <f>IF('Asset register'!$C20="","",IF('Asset register'!$E20="",0,'Asset register'!$J20*MAX(0,MIN('Asset register'!$H20*12,(YEAR(E$7)-YEAR('Asset register'!$E20))*12+MONTH(E$7)-MONTH('Asset register'!$E20)+1))))</f>
        <v/>
      </c>
      <c r="K21" s="24">
        <f>IF('Asset register'!$C20="","",IF('Asset register'!$E20="",0,'Asset register'!$J20*MAX(0,MIN('Asset register'!$H20*12,(YEAR(F$7)-YEAR('Asset register'!$E20))*12+MONTH(F$7)-MONTH('Asset register'!$E20)+1))))</f>
        <v/>
      </c>
      <c r="L21" s="24">
        <f>IF('Asset register'!$C20="","",IF('Asset register'!$E20="",0,'Asset register'!$J20*MAX(0,MIN('Asset register'!$H20*12,(YEAR(G$7)-YEAR('Asset register'!$E20))*12+MONTH(G$7)-MONTH('Asset register'!$E20)+1))))</f>
        <v/>
      </c>
      <c r="M21" s="24">
        <f>IF('Asset register'!$C20="","",IF('Asset register'!$E20="",0,'Asset register'!$J20*MAX(0,MIN('Asset register'!$H20*12,(YEAR(H$7)-YEAR('Asset register'!$E20))*12+MONTH(H$7)-MONTH('Asset register'!$E20)+1))))</f>
        <v/>
      </c>
      <c r="N21" s="24">
        <f>IF('Asset register'!$C20="","",IF(OR('Asset register'!$E20="",'Asset register'!$E20&gt;D$7),0,N('Asset register'!$F20)-I21))</f>
        <v/>
      </c>
      <c r="O21" s="24">
        <f>IF('Asset register'!$C20="","",IF(OR('Asset register'!$E20="",'Asset register'!$E20&gt;E$7),0,N('Asset register'!$F20)-J21))</f>
        <v/>
      </c>
      <c r="P21" s="24">
        <f>IF('Asset register'!$C20="","",IF(OR('Asset register'!$E20="",'Asset register'!$E20&gt;F$7),0,N('Asset register'!$F20)-K21))</f>
        <v/>
      </c>
      <c r="Q21" s="24">
        <f>IF('Asset register'!$C20="","",IF(OR('Asset register'!$E20="",'Asset register'!$E20&gt;G$7),0,N('Asset register'!$F20)-L21))</f>
        <v/>
      </c>
      <c r="R21" s="24">
        <f>IF('Asset register'!$C20="","",IF(OR('Asset register'!$E20="",'Asset register'!$E20&gt;H$7),0,N('Asset register'!$F20)-M21))</f>
        <v/>
      </c>
    </row>
    <row r="22">
      <c r="B22" s="46">
        <f>IF('Asset register'!B21="","",'Asset register'!B21)</f>
        <v/>
      </c>
      <c r="C22" s="46">
        <f>IF('Asset register'!C21="","",'Asset register'!C21)</f>
        <v/>
      </c>
      <c r="D22" s="24">
        <f>IF('Asset register'!$C21="","",I22-'Asset register'!$M21)</f>
        <v/>
      </c>
      <c r="E22" s="24">
        <f>IF('Asset register'!$C21="","",J22-I22)</f>
        <v/>
      </c>
      <c r="F22" s="24">
        <f>IF('Asset register'!$C21="","",K22-J22)</f>
        <v/>
      </c>
      <c r="G22" s="24">
        <f>IF('Asset register'!$C21="","",L22-K22)</f>
        <v/>
      </c>
      <c r="H22" s="24">
        <f>IF('Asset register'!$C21="","",M22-L22)</f>
        <v/>
      </c>
      <c r="I22" s="24">
        <f>IF('Asset register'!$C21="","",IF('Asset register'!$E21="",0,'Asset register'!$J21*MAX(0,MIN('Asset register'!$H21*12,(YEAR(D$7)-YEAR('Asset register'!$E21))*12+MONTH(D$7)-MONTH('Asset register'!$E21)+1))))</f>
        <v/>
      </c>
      <c r="J22" s="24">
        <f>IF('Asset register'!$C21="","",IF('Asset register'!$E21="",0,'Asset register'!$J21*MAX(0,MIN('Asset register'!$H21*12,(YEAR(E$7)-YEAR('Asset register'!$E21))*12+MONTH(E$7)-MONTH('Asset register'!$E21)+1))))</f>
        <v/>
      </c>
      <c r="K22" s="24">
        <f>IF('Asset register'!$C21="","",IF('Asset register'!$E21="",0,'Asset register'!$J21*MAX(0,MIN('Asset register'!$H21*12,(YEAR(F$7)-YEAR('Asset register'!$E21))*12+MONTH(F$7)-MONTH('Asset register'!$E21)+1))))</f>
        <v/>
      </c>
      <c r="L22" s="24">
        <f>IF('Asset register'!$C21="","",IF('Asset register'!$E21="",0,'Asset register'!$J21*MAX(0,MIN('Asset register'!$H21*12,(YEAR(G$7)-YEAR('Asset register'!$E21))*12+MONTH(G$7)-MONTH('Asset register'!$E21)+1))))</f>
        <v/>
      </c>
      <c r="M22" s="24">
        <f>IF('Asset register'!$C21="","",IF('Asset register'!$E21="",0,'Asset register'!$J21*MAX(0,MIN('Asset register'!$H21*12,(YEAR(H$7)-YEAR('Asset register'!$E21))*12+MONTH(H$7)-MONTH('Asset register'!$E21)+1))))</f>
        <v/>
      </c>
      <c r="N22" s="24">
        <f>IF('Asset register'!$C21="","",IF(OR('Asset register'!$E21="",'Asset register'!$E21&gt;D$7),0,N('Asset register'!$F21)-I22))</f>
        <v/>
      </c>
      <c r="O22" s="24">
        <f>IF('Asset register'!$C21="","",IF(OR('Asset register'!$E21="",'Asset register'!$E21&gt;E$7),0,N('Asset register'!$F21)-J22))</f>
        <v/>
      </c>
      <c r="P22" s="24">
        <f>IF('Asset register'!$C21="","",IF(OR('Asset register'!$E21="",'Asset register'!$E21&gt;F$7),0,N('Asset register'!$F21)-K22))</f>
        <v/>
      </c>
      <c r="Q22" s="24">
        <f>IF('Asset register'!$C21="","",IF(OR('Asset register'!$E21="",'Asset register'!$E21&gt;G$7),0,N('Asset register'!$F21)-L22))</f>
        <v/>
      </c>
      <c r="R22" s="24">
        <f>IF('Asset register'!$C21="","",IF(OR('Asset register'!$E21="",'Asset register'!$E21&gt;H$7),0,N('Asset register'!$F21)-M22))</f>
        <v/>
      </c>
    </row>
    <row r="23">
      <c r="B23" s="46">
        <f>IF('Asset register'!B22="","",'Asset register'!B22)</f>
        <v/>
      </c>
      <c r="C23" s="46">
        <f>IF('Asset register'!C22="","",'Asset register'!C22)</f>
        <v/>
      </c>
      <c r="D23" s="24">
        <f>IF('Asset register'!$C22="","",I23-'Asset register'!$M22)</f>
        <v/>
      </c>
      <c r="E23" s="24">
        <f>IF('Asset register'!$C22="","",J23-I23)</f>
        <v/>
      </c>
      <c r="F23" s="24">
        <f>IF('Asset register'!$C22="","",K23-J23)</f>
        <v/>
      </c>
      <c r="G23" s="24">
        <f>IF('Asset register'!$C22="","",L23-K23)</f>
        <v/>
      </c>
      <c r="H23" s="24">
        <f>IF('Asset register'!$C22="","",M23-L23)</f>
        <v/>
      </c>
      <c r="I23" s="24">
        <f>IF('Asset register'!$C22="","",IF('Asset register'!$E22="",0,'Asset register'!$J22*MAX(0,MIN('Asset register'!$H22*12,(YEAR(D$7)-YEAR('Asset register'!$E22))*12+MONTH(D$7)-MONTH('Asset register'!$E22)+1))))</f>
        <v/>
      </c>
      <c r="J23" s="24">
        <f>IF('Asset register'!$C22="","",IF('Asset register'!$E22="",0,'Asset register'!$J22*MAX(0,MIN('Asset register'!$H22*12,(YEAR(E$7)-YEAR('Asset register'!$E22))*12+MONTH(E$7)-MONTH('Asset register'!$E22)+1))))</f>
        <v/>
      </c>
      <c r="K23" s="24">
        <f>IF('Asset register'!$C22="","",IF('Asset register'!$E22="",0,'Asset register'!$J22*MAX(0,MIN('Asset register'!$H22*12,(YEAR(F$7)-YEAR('Asset register'!$E22))*12+MONTH(F$7)-MONTH('Asset register'!$E22)+1))))</f>
        <v/>
      </c>
      <c r="L23" s="24">
        <f>IF('Asset register'!$C22="","",IF('Asset register'!$E22="",0,'Asset register'!$J22*MAX(0,MIN('Asset register'!$H22*12,(YEAR(G$7)-YEAR('Asset register'!$E22))*12+MONTH(G$7)-MONTH('Asset register'!$E22)+1))))</f>
        <v/>
      </c>
      <c r="M23" s="24">
        <f>IF('Asset register'!$C22="","",IF('Asset register'!$E22="",0,'Asset register'!$J22*MAX(0,MIN('Asset register'!$H22*12,(YEAR(H$7)-YEAR('Asset register'!$E22))*12+MONTH(H$7)-MONTH('Asset register'!$E22)+1))))</f>
        <v/>
      </c>
      <c r="N23" s="24">
        <f>IF('Asset register'!$C22="","",IF(OR('Asset register'!$E22="",'Asset register'!$E22&gt;D$7),0,N('Asset register'!$F22)-I23))</f>
        <v/>
      </c>
      <c r="O23" s="24">
        <f>IF('Asset register'!$C22="","",IF(OR('Asset register'!$E22="",'Asset register'!$E22&gt;E$7),0,N('Asset register'!$F22)-J23))</f>
        <v/>
      </c>
      <c r="P23" s="24">
        <f>IF('Asset register'!$C22="","",IF(OR('Asset register'!$E22="",'Asset register'!$E22&gt;F$7),0,N('Asset register'!$F22)-K23))</f>
        <v/>
      </c>
      <c r="Q23" s="24">
        <f>IF('Asset register'!$C22="","",IF(OR('Asset register'!$E22="",'Asset register'!$E22&gt;G$7),0,N('Asset register'!$F22)-L23))</f>
        <v/>
      </c>
      <c r="R23" s="24">
        <f>IF('Asset register'!$C22="","",IF(OR('Asset register'!$E22="",'Asset register'!$E22&gt;H$7),0,N('Asset register'!$F22)-M23))</f>
        <v/>
      </c>
    </row>
    <row r="24">
      <c r="B24" s="46">
        <f>IF('Asset register'!B23="","",'Asset register'!B23)</f>
        <v/>
      </c>
      <c r="C24" s="46">
        <f>IF('Asset register'!C23="","",'Asset register'!C23)</f>
        <v/>
      </c>
      <c r="D24" s="24">
        <f>IF('Asset register'!$C23="","",I24-'Asset register'!$M23)</f>
        <v/>
      </c>
      <c r="E24" s="24">
        <f>IF('Asset register'!$C23="","",J24-I24)</f>
        <v/>
      </c>
      <c r="F24" s="24">
        <f>IF('Asset register'!$C23="","",K24-J24)</f>
        <v/>
      </c>
      <c r="G24" s="24">
        <f>IF('Asset register'!$C23="","",L24-K24)</f>
        <v/>
      </c>
      <c r="H24" s="24">
        <f>IF('Asset register'!$C23="","",M24-L24)</f>
        <v/>
      </c>
      <c r="I24" s="24">
        <f>IF('Asset register'!$C23="","",IF('Asset register'!$E23="",0,'Asset register'!$J23*MAX(0,MIN('Asset register'!$H23*12,(YEAR(D$7)-YEAR('Asset register'!$E23))*12+MONTH(D$7)-MONTH('Asset register'!$E23)+1))))</f>
        <v/>
      </c>
      <c r="J24" s="24">
        <f>IF('Asset register'!$C23="","",IF('Asset register'!$E23="",0,'Asset register'!$J23*MAX(0,MIN('Asset register'!$H23*12,(YEAR(E$7)-YEAR('Asset register'!$E23))*12+MONTH(E$7)-MONTH('Asset register'!$E23)+1))))</f>
        <v/>
      </c>
      <c r="K24" s="24">
        <f>IF('Asset register'!$C23="","",IF('Asset register'!$E23="",0,'Asset register'!$J23*MAX(0,MIN('Asset register'!$H23*12,(YEAR(F$7)-YEAR('Asset register'!$E23))*12+MONTH(F$7)-MONTH('Asset register'!$E23)+1))))</f>
        <v/>
      </c>
      <c r="L24" s="24">
        <f>IF('Asset register'!$C23="","",IF('Asset register'!$E23="",0,'Asset register'!$J23*MAX(0,MIN('Asset register'!$H23*12,(YEAR(G$7)-YEAR('Asset register'!$E23))*12+MONTH(G$7)-MONTH('Asset register'!$E23)+1))))</f>
        <v/>
      </c>
      <c r="M24" s="24">
        <f>IF('Asset register'!$C23="","",IF('Asset register'!$E23="",0,'Asset register'!$J23*MAX(0,MIN('Asset register'!$H23*12,(YEAR(H$7)-YEAR('Asset register'!$E23))*12+MONTH(H$7)-MONTH('Asset register'!$E23)+1))))</f>
        <v/>
      </c>
      <c r="N24" s="24">
        <f>IF('Asset register'!$C23="","",IF(OR('Asset register'!$E23="",'Asset register'!$E23&gt;D$7),0,N('Asset register'!$F23)-I24))</f>
        <v/>
      </c>
      <c r="O24" s="24">
        <f>IF('Asset register'!$C23="","",IF(OR('Asset register'!$E23="",'Asset register'!$E23&gt;E$7),0,N('Asset register'!$F23)-J24))</f>
        <v/>
      </c>
      <c r="P24" s="24">
        <f>IF('Asset register'!$C23="","",IF(OR('Asset register'!$E23="",'Asset register'!$E23&gt;F$7),0,N('Asset register'!$F23)-K24))</f>
        <v/>
      </c>
      <c r="Q24" s="24">
        <f>IF('Asset register'!$C23="","",IF(OR('Asset register'!$E23="",'Asset register'!$E23&gt;G$7),0,N('Asset register'!$F23)-L24))</f>
        <v/>
      </c>
      <c r="R24" s="24">
        <f>IF('Asset register'!$C23="","",IF(OR('Asset register'!$E23="",'Asset register'!$E23&gt;H$7),0,N('Asset register'!$F23)-M24))</f>
        <v/>
      </c>
    </row>
    <row r="25">
      <c r="B25" s="46">
        <f>IF('Asset register'!B24="","",'Asset register'!B24)</f>
        <v/>
      </c>
      <c r="C25" s="46">
        <f>IF('Asset register'!C24="","",'Asset register'!C24)</f>
        <v/>
      </c>
      <c r="D25" s="24">
        <f>IF('Asset register'!$C24="","",I25-'Asset register'!$M24)</f>
        <v/>
      </c>
      <c r="E25" s="24">
        <f>IF('Asset register'!$C24="","",J25-I25)</f>
        <v/>
      </c>
      <c r="F25" s="24">
        <f>IF('Asset register'!$C24="","",K25-J25)</f>
        <v/>
      </c>
      <c r="G25" s="24">
        <f>IF('Asset register'!$C24="","",L25-K25)</f>
        <v/>
      </c>
      <c r="H25" s="24">
        <f>IF('Asset register'!$C24="","",M25-L25)</f>
        <v/>
      </c>
      <c r="I25" s="24">
        <f>IF('Asset register'!$C24="","",IF('Asset register'!$E24="",0,'Asset register'!$J24*MAX(0,MIN('Asset register'!$H24*12,(YEAR(D$7)-YEAR('Asset register'!$E24))*12+MONTH(D$7)-MONTH('Asset register'!$E24)+1))))</f>
        <v/>
      </c>
      <c r="J25" s="24">
        <f>IF('Asset register'!$C24="","",IF('Asset register'!$E24="",0,'Asset register'!$J24*MAX(0,MIN('Asset register'!$H24*12,(YEAR(E$7)-YEAR('Asset register'!$E24))*12+MONTH(E$7)-MONTH('Asset register'!$E24)+1))))</f>
        <v/>
      </c>
      <c r="K25" s="24">
        <f>IF('Asset register'!$C24="","",IF('Asset register'!$E24="",0,'Asset register'!$J24*MAX(0,MIN('Asset register'!$H24*12,(YEAR(F$7)-YEAR('Asset register'!$E24))*12+MONTH(F$7)-MONTH('Asset register'!$E24)+1))))</f>
        <v/>
      </c>
      <c r="L25" s="24">
        <f>IF('Asset register'!$C24="","",IF('Asset register'!$E24="",0,'Asset register'!$J24*MAX(0,MIN('Asset register'!$H24*12,(YEAR(G$7)-YEAR('Asset register'!$E24))*12+MONTH(G$7)-MONTH('Asset register'!$E24)+1))))</f>
        <v/>
      </c>
      <c r="M25" s="24">
        <f>IF('Asset register'!$C24="","",IF('Asset register'!$E24="",0,'Asset register'!$J24*MAX(0,MIN('Asset register'!$H24*12,(YEAR(H$7)-YEAR('Asset register'!$E24))*12+MONTH(H$7)-MONTH('Asset register'!$E24)+1))))</f>
        <v/>
      </c>
      <c r="N25" s="24">
        <f>IF('Asset register'!$C24="","",IF(OR('Asset register'!$E24="",'Asset register'!$E24&gt;D$7),0,N('Asset register'!$F24)-I25))</f>
        <v/>
      </c>
      <c r="O25" s="24">
        <f>IF('Asset register'!$C24="","",IF(OR('Asset register'!$E24="",'Asset register'!$E24&gt;E$7),0,N('Asset register'!$F24)-J25))</f>
        <v/>
      </c>
      <c r="P25" s="24">
        <f>IF('Asset register'!$C24="","",IF(OR('Asset register'!$E24="",'Asset register'!$E24&gt;F$7),0,N('Asset register'!$F24)-K25))</f>
        <v/>
      </c>
      <c r="Q25" s="24">
        <f>IF('Asset register'!$C24="","",IF(OR('Asset register'!$E24="",'Asset register'!$E24&gt;G$7),0,N('Asset register'!$F24)-L25))</f>
        <v/>
      </c>
      <c r="R25" s="24">
        <f>IF('Asset register'!$C24="","",IF(OR('Asset register'!$E24="",'Asset register'!$E24&gt;H$7),0,N('Asset register'!$F24)-M25))</f>
        <v/>
      </c>
    </row>
    <row r="26">
      <c r="B26" s="46">
        <f>IF('Asset register'!B25="","",'Asset register'!B25)</f>
        <v/>
      </c>
      <c r="C26" s="46">
        <f>IF('Asset register'!C25="","",'Asset register'!C25)</f>
        <v/>
      </c>
      <c r="D26" s="24">
        <f>IF('Asset register'!$C25="","",I26-'Asset register'!$M25)</f>
        <v/>
      </c>
      <c r="E26" s="24">
        <f>IF('Asset register'!$C25="","",J26-I26)</f>
        <v/>
      </c>
      <c r="F26" s="24">
        <f>IF('Asset register'!$C25="","",K26-J26)</f>
        <v/>
      </c>
      <c r="G26" s="24">
        <f>IF('Asset register'!$C25="","",L26-K26)</f>
        <v/>
      </c>
      <c r="H26" s="24">
        <f>IF('Asset register'!$C25="","",M26-L26)</f>
        <v/>
      </c>
      <c r="I26" s="24">
        <f>IF('Asset register'!$C25="","",IF('Asset register'!$E25="",0,'Asset register'!$J25*MAX(0,MIN('Asset register'!$H25*12,(YEAR(D$7)-YEAR('Asset register'!$E25))*12+MONTH(D$7)-MONTH('Asset register'!$E25)+1))))</f>
        <v/>
      </c>
      <c r="J26" s="24">
        <f>IF('Asset register'!$C25="","",IF('Asset register'!$E25="",0,'Asset register'!$J25*MAX(0,MIN('Asset register'!$H25*12,(YEAR(E$7)-YEAR('Asset register'!$E25))*12+MONTH(E$7)-MONTH('Asset register'!$E25)+1))))</f>
        <v/>
      </c>
      <c r="K26" s="24">
        <f>IF('Asset register'!$C25="","",IF('Asset register'!$E25="",0,'Asset register'!$J25*MAX(0,MIN('Asset register'!$H25*12,(YEAR(F$7)-YEAR('Asset register'!$E25))*12+MONTH(F$7)-MONTH('Asset register'!$E25)+1))))</f>
        <v/>
      </c>
      <c r="L26" s="24">
        <f>IF('Asset register'!$C25="","",IF('Asset register'!$E25="",0,'Asset register'!$J25*MAX(0,MIN('Asset register'!$H25*12,(YEAR(G$7)-YEAR('Asset register'!$E25))*12+MONTH(G$7)-MONTH('Asset register'!$E25)+1))))</f>
        <v/>
      </c>
      <c r="M26" s="24">
        <f>IF('Asset register'!$C25="","",IF('Asset register'!$E25="",0,'Asset register'!$J25*MAX(0,MIN('Asset register'!$H25*12,(YEAR(H$7)-YEAR('Asset register'!$E25))*12+MONTH(H$7)-MONTH('Asset register'!$E25)+1))))</f>
        <v/>
      </c>
      <c r="N26" s="24">
        <f>IF('Asset register'!$C25="","",IF(OR('Asset register'!$E25="",'Asset register'!$E25&gt;D$7),0,N('Asset register'!$F25)-I26))</f>
        <v/>
      </c>
      <c r="O26" s="24">
        <f>IF('Asset register'!$C25="","",IF(OR('Asset register'!$E25="",'Asset register'!$E25&gt;E$7),0,N('Asset register'!$F25)-J26))</f>
        <v/>
      </c>
      <c r="P26" s="24">
        <f>IF('Asset register'!$C25="","",IF(OR('Asset register'!$E25="",'Asset register'!$E25&gt;F$7),0,N('Asset register'!$F25)-K26))</f>
        <v/>
      </c>
      <c r="Q26" s="24">
        <f>IF('Asset register'!$C25="","",IF(OR('Asset register'!$E25="",'Asset register'!$E25&gt;G$7),0,N('Asset register'!$F25)-L26))</f>
        <v/>
      </c>
      <c r="R26" s="24">
        <f>IF('Asset register'!$C25="","",IF(OR('Asset register'!$E25="",'Asset register'!$E25&gt;H$7),0,N('Asset register'!$F25)-M26))</f>
        <v/>
      </c>
    </row>
    <row r="27">
      <c r="B27" s="46">
        <f>IF('Asset register'!B26="","",'Asset register'!B26)</f>
        <v/>
      </c>
      <c r="C27" s="46">
        <f>IF('Asset register'!C26="","",'Asset register'!C26)</f>
        <v/>
      </c>
      <c r="D27" s="24">
        <f>IF('Asset register'!$C26="","",I27-'Asset register'!$M26)</f>
        <v/>
      </c>
      <c r="E27" s="24">
        <f>IF('Asset register'!$C26="","",J27-I27)</f>
        <v/>
      </c>
      <c r="F27" s="24">
        <f>IF('Asset register'!$C26="","",K27-J27)</f>
        <v/>
      </c>
      <c r="G27" s="24">
        <f>IF('Asset register'!$C26="","",L27-K27)</f>
        <v/>
      </c>
      <c r="H27" s="24">
        <f>IF('Asset register'!$C26="","",M27-L27)</f>
        <v/>
      </c>
      <c r="I27" s="24">
        <f>IF('Asset register'!$C26="","",IF('Asset register'!$E26="",0,'Asset register'!$J26*MAX(0,MIN('Asset register'!$H26*12,(YEAR(D$7)-YEAR('Asset register'!$E26))*12+MONTH(D$7)-MONTH('Asset register'!$E26)+1))))</f>
        <v/>
      </c>
      <c r="J27" s="24">
        <f>IF('Asset register'!$C26="","",IF('Asset register'!$E26="",0,'Asset register'!$J26*MAX(0,MIN('Asset register'!$H26*12,(YEAR(E$7)-YEAR('Asset register'!$E26))*12+MONTH(E$7)-MONTH('Asset register'!$E26)+1))))</f>
        <v/>
      </c>
      <c r="K27" s="24">
        <f>IF('Asset register'!$C26="","",IF('Asset register'!$E26="",0,'Asset register'!$J26*MAX(0,MIN('Asset register'!$H26*12,(YEAR(F$7)-YEAR('Asset register'!$E26))*12+MONTH(F$7)-MONTH('Asset register'!$E26)+1))))</f>
        <v/>
      </c>
      <c r="L27" s="24">
        <f>IF('Asset register'!$C26="","",IF('Asset register'!$E26="",0,'Asset register'!$J26*MAX(0,MIN('Asset register'!$H26*12,(YEAR(G$7)-YEAR('Asset register'!$E26))*12+MONTH(G$7)-MONTH('Asset register'!$E26)+1))))</f>
        <v/>
      </c>
      <c r="M27" s="24">
        <f>IF('Asset register'!$C26="","",IF('Asset register'!$E26="",0,'Asset register'!$J26*MAX(0,MIN('Asset register'!$H26*12,(YEAR(H$7)-YEAR('Asset register'!$E26))*12+MONTH(H$7)-MONTH('Asset register'!$E26)+1))))</f>
        <v/>
      </c>
      <c r="N27" s="24">
        <f>IF('Asset register'!$C26="","",IF(OR('Asset register'!$E26="",'Asset register'!$E26&gt;D$7),0,N('Asset register'!$F26)-I27))</f>
        <v/>
      </c>
      <c r="O27" s="24">
        <f>IF('Asset register'!$C26="","",IF(OR('Asset register'!$E26="",'Asset register'!$E26&gt;E$7),0,N('Asset register'!$F26)-J27))</f>
        <v/>
      </c>
      <c r="P27" s="24">
        <f>IF('Asset register'!$C26="","",IF(OR('Asset register'!$E26="",'Asset register'!$E26&gt;F$7),0,N('Asset register'!$F26)-K27))</f>
        <v/>
      </c>
      <c r="Q27" s="24">
        <f>IF('Asset register'!$C26="","",IF(OR('Asset register'!$E26="",'Asset register'!$E26&gt;G$7),0,N('Asset register'!$F26)-L27))</f>
        <v/>
      </c>
      <c r="R27" s="24">
        <f>IF('Asset register'!$C26="","",IF(OR('Asset register'!$E26="",'Asset register'!$E26&gt;H$7),0,N('Asset register'!$F26)-M27))</f>
        <v/>
      </c>
    </row>
    <row r="28">
      <c r="B28" s="46">
        <f>IF('Asset register'!B27="","",'Asset register'!B27)</f>
        <v/>
      </c>
      <c r="C28" s="46">
        <f>IF('Asset register'!C27="","",'Asset register'!C27)</f>
        <v/>
      </c>
      <c r="D28" s="24">
        <f>IF('Asset register'!$C27="","",I28-'Asset register'!$M27)</f>
        <v/>
      </c>
      <c r="E28" s="24">
        <f>IF('Asset register'!$C27="","",J28-I28)</f>
        <v/>
      </c>
      <c r="F28" s="24">
        <f>IF('Asset register'!$C27="","",K28-J28)</f>
        <v/>
      </c>
      <c r="G28" s="24">
        <f>IF('Asset register'!$C27="","",L28-K28)</f>
        <v/>
      </c>
      <c r="H28" s="24">
        <f>IF('Asset register'!$C27="","",M28-L28)</f>
        <v/>
      </c>
      <c r="I28" s="24">
        <f>IF('Asset register'!$C27="","",IF('Asset register'!$E27="",0,'Asset register'!$J27*MAX(0,MIN('Asset register'!$H27*12,(YEAR(D$7)-YEAR('Asset register'!$E27))*12+MONTH(D$7)-MONTH('Asset register'!$E27)+1))))</f>
        <v/>
      </c>
      <c r="J28" s="24">
        <f>IF('Asset register'!$C27="","",IF('Asset register'!$E27="",0,'Asset register'!$J27*MAX(0,MIN('Asset register'!$H27*12,(YEAR(E$7)-YEAR('Asset register'!$E27))*12+MONTH(E$7)-MONTH('Asset register'!$E27)+1))))</f>
        <v/>
      </c>
      <c r="K28" s="24">
        <f>IF('Asset register'!$C27="","",IF('Asset register'!$E27="",0,'Asset register'!$J27*MAX(0,MIN('Asset register'!$H27*12,(YEAR(F$7)-YEAR('Asset register'!$E27))*12+MONTH(F$7)-MONTH('Asset register'!$E27)+1))))</f>
        <v/>
      </c>
      <c r="L28" s="24">
        <f>IF('Asset register'!$C27="","",IF('Asset register'!$E27="",0,'Asset register'!$J27*MAX(0,MIN('Asset register'!$H27*12,(YEAR(G$7)-YEAR('Asset register'!$E27))*12+MONTH(G$7)-MONTH('Asset register'!$E27)+1))))</f>
        <v/>
      </c>
      <c r="M28" s="24">
        <f>IF('Asset register'!$C27="","",IF('Asset register'!$E27="",0,'Asset register'!$J27*MAX(0,MIN('Asset register'!$H27*12,(YEAR(H$7)-YEAR('Asset register'!$E27))*12+MONTH(H$7)-MONTH('Asset register'!$E27)+1))))</f>
        <v/>
      </c>
      <c r="N28" s="24">
        <f>IF('Asset register'!$C27="","",IF(OR('Asset register'!$E27="",'Asset register'!$E27&gt;D$7),0,N('Asset register'!$F27)-I28))</f>
        <v/>
      </c>
      <c r="O28" s="24">
        <f>IF('Asset register'!$C27="","",IF(OR('Asset register'!$E27="",'Asset register'!$E27&gt;E$7),0,N('Asset register'!$F27)-J28))</f>
        <v/>
      </c>
      <c r="P28" s="24">
        <f>IF('Asset register'!$C27="","",IF(OR('Asset register'!$E27="",'Asset register'!$E27&gt;F$7),0,N('Asset register'!$F27)-K28))</f>
        <v/>
      </c>
      <c r="Q28" s="24">
        <f>IF('Asset register'!$C27="","",IF(OR('Asset register'!$E27="",'Asset register'!$E27&gt;G$7),0,N('Asset register'!$F27)-L28))</f>
        <v/>
      </c>
      <c r="R28" s="24">
        <f>IF('Asset register'!$C27="","",IF(OR('Asset register'!$E27="",'Asset register'!$E27&gt;H$7),0,N('Asset register'!$F27)-M28))</f>
        <v/>
      </c>
    </row>
    <row r="29">
      <c r="B29" s="46">
        <f>IF('Asset register'!B28="","",'Asset register'!B28)</f>
        <v/>
      </c>
      <c r="C29" s="46">
        <f>IF('Asset register'!C28="","",'Asset register'!C28)</f>
        <v/>
      </c>
      <c r="D29" s="24">
        <f>IF('Asset register'!$C28="","",I29-'Asset register'!$M28)</f>
        <v/>
      </c>
      <c r="E29" s="24">
        <f>IF('Asset register'!$C28="","",J29-I29)</f>
        <v/>
      </c>
      <c r="F29" s="24">
        <f>IF('Asset register'!$C28="","",K29-J29)</f>
        <v/>
      </c>
      <c r="G29" s="24">
        <f>IF('Asset register'!$C28="","",L29-K29)</f>
        <v/>
      </c>
      <c r="H29" s="24">
        <f>IF('Asset register'!$C28="","",M29-L29)</f>
        <v/>
      </c>
      <c r="I29" s="24">
        <f>IF('Asset register'!$C28="","",IF('Asset register'!$E28="",0,'Asset register'!$J28*MAX(0,MIN('Asset register'!$H28*12,(YEAR(D$7)-YEAR('Asset register'!$E28))*12+MONTH(D$7)-MONTH('Asset register'!$E28)+1))))</f>
        <v/>
      </c>
      <c r="J29" s="24">
        <f>IF('Asset register'!$C28="","",IF('Asset register'!$E28="",0,'Asset register'!$J28*MAX(0,MIN('Asset register'!$H28*12,(YEAR(E$7)-YEAR('Asset register'!$E28))*12+MONTH(E$7)-MONTH('Asset register'!$E28)+1))))</f>
        <v/>
      </c>
      <c r="K29" s="24">
        <f>IF('Asset register'!$C28="","",IF('Asset register'!$E28="",0,'Asset register'!$J28*MAX(0,MIN('Asset register'!$H28*12,(YEAR(F$7)-YEAR('Asset register'!$E28))*12+MONTH(F$7)-MONTH('Asset register'!$E28)+1))))</f>
        <v/>
      </c>
      <c r="L29" s="24">
        <f>IF('Asset register'!$C28="","",IF('Asset register'!$E28="",0,'Asset register'!$J28*MAX(0,MIN('Asset register'!$H28*12,(YEAR(G$7)-YEAR('Asset register'!$E28))*12+MONTH(G$7)-MONTH('Asset register'!$E28)+1))))</f>
        <v/>
      </c>
      <c r="M29" s="24">
        <f>IF('Asset register'!$C28="","",IF('Asset register'!$E28="",0,'Asset register'!$J28*MAX(0,MIN('Asset register'!$H28*12,(YEAR(H$7)-YEAR('Asset register'!$E28))*12+MONTH(H$7)-MONTH('Asset register'!$E28)+1))))</f>
        <v/>
      </c>
      <c r="N29" s="24">
        <f>IF('Asset register'!$C28="","",IF(OR('Asset register'!$E28="",'Asset register'!$E28&gt;D$7),0,N('Asset register'!$F28)-I29))</f>
        <v/>
      </c>
      <c r="O29" s="24">
        <f>IF('Asset register'!$C28="","",IF(OR('Asset register'!$E28="",'Asset register'!$E28&gt;E$7),0,N('Asset register'!$F28)-J29))</f>
        <v/>
      </c>
      <c r="P29" s="24">
        <f>IF('Asset register'!$C28="","",IF(OR('Asset register'!$E28="",'Asset register'!$E28&gt;F$7),0,N('Asset register'!$F28)-K29))</f>
        <v/>
      </c>
      <c r="Q29" s="24">
        <f>IF('Asset register'!$C28="","",IF(OR('Asset register'!$E28="",'Asset register'!$E28&gt;G$7),0,N('Asset register'!$F28)-L29))</f>
        <v/>
      </c>
      <c r="R29" s="24">
        <f>IF('Asset register'!$C28="","",IF(OR('Asset register'!$E28="",'Asset register'!$E28&gt;H$7),0,N('Asset register'!$F28)-M29))</f>
        <v/>
      </c>
    </row>
    <row r="30">
      <c r="B30" s="46">
        <f>IF('Asset register'!B29="","",'Asset register'!B29)</f>
        <v/>
      </c>
      <c r="C30" s="46">
        <f>IF('Asset register'!C29="","",'Asset register'!C29)</f>
        <v/>
      </c>
      <c r="D30" s="24">
        <f>IF('Asset register'!$C29="","",I30-'Asset register'!$M29)</f>
        <v/>
      </c>
      <c r="E30" s="24">
        <f>IF('Asset register'!$C29="","",J30-I30)</f>
        <v/>
      </c>
      <c r="F30" s="24">
        <f>IF('Asset register'!$C29="","",K30-J30)</f>
        <v/>
      </c>
      <c r="G30" s="24">
        <f>IF('Asset register'!$C29="","",L30-K30)</f>
        <v/>
      </c>
      <c r="H30" s="24">
        <f>IF('Asset register'!$C29="","",M30-L30)</f>
        <v/>
      </c>
      <c r="I30" s="24">
        <f>IF('Asset register'!$C29="","",IF('Asset register'!$E29="",0,'Asset register'!$J29*MAX(0,MIN('Asset register'!$H29*12,(YEAR(D$7)-YEAR('Asset register'!$E29))*12+MONTH(D$7)-MONTH('Asset register'!$E29)+1))))</f>
        <v/>
      </c>
      <c r="J30" s="24">
        <f>IF('Asset register'!$C29="","",IF('Asset register'!$E29="",0,'Asset register'!$J29*MAX(0,MIN('Asset register'!$H29*12,(YEAR(E$7)-YEAR('Asset register'!$E29))*12+MONTH(E$7)-MONTH('Asset register'!$E29)+1))))</f>
        <v/>
      </c>
      <c r="K30" s="24">
        <f>IF('Asset register'!$C29="","",IF('Asset register'!$E29="",0,'Asset register'!$J29*MAX(0,MIN('Asset register'!$H29*12,(YEAR(F$7)-YEAR('Asset register'!$E29))*12+MONTH(F$7)-MONTH('Asset register'!$E29)+1))))</f>
        <v/>
      </c>
      <c r="L30" s="24">
        <f>IF('Asset register'!$C29="","",IF('Asset register'!$E29="",0,'Asset register'!$J29*MAX(0,MIN('Asset register'!$H29*12,(YEAR(G$7)-YEAR('Asset register'!$E29))*12+MONTH(G$7)-MONTH('Asset register'!$E29)+1))))</f>
        <v/>
      </c>
      <c r="M30" s="24">
        <f>IF('Asset register'!$C29="","",IF('Asset register'!$E29="",0,'Asset register'!$J29*MAX(0,MIN('Asset register'!$H29*12,(YEAR(H$7)-YEAR('Asset register'!$E29))*12+MONTH(H$7)-MONTH('Asset register'!$E29)+1))))</f>
        <v/>
      </c>
      <c r="N30" s="24">
        <f>IF('Asset register'!$C29="","",IF(OR('Asset register'!$E29="",'Asset register'!$E29&gt;D$7),0,N('Asset register'!$F29)-I30))</f>
        <v/>
      </c>
      <c r="O30" s="24">
        <f>IF('Asset register'!$C29="","",IF(OR('Asset register'!$E29="",'Asset register'!$E29&gt;E$7),0,N('Asset register'!$F29)-J30))</f>
        <v/>
      </c>
      <c r="P30" s="24">
        <f>IF('Asset register'!$C29="","",IF(OR('Asset register'!$E29="",'Asset register'!$E29&gt;F$7),0,N('Asset register'!$F29)-K30))</f>
        <v/>
      </c>
      <c r="Q30" s="24">
        <f>IF('Asset register'!$C29="","",IF(OR('Asset register'!$E29="",'Asset register'!$E29&gt;G$7),0,N('Asset register'!$F29)-L30))</f>
        <v/>
      </c>
      <c r="R30" s="24">
        <f>IF('Asset register'!$C29="","",IF(OR('Asset register'!$E29="",'Asset register'!$E29&gt;H$7),0,N('Asset register'!$F29)-M30))</f>
        <v/>
      </c>
    </row>
    <row r="31">
      <c r="B31" s="46">
        <f>IF('Asset register'!B30="","",'Asset register'!B30)</f>
        <v/>
      </c>
      <c r="C31" s="46">
        <f>IF('Asset register'!C30="","",'Asset register'!C30)</f>
        <v/>
      </c>
      <c r="D31" s="24">
        <f>IF('Asset register'!$C30="","",I31-'Asset register'!$M30)</f>
        <v/>
      </c>
      <c r="E31" s="24">
        <f>IF('Asset register'!$C30="","",J31-I31)</f>
        <v/>
      </c>
      <c r="F31" s="24">
        <f>IF('Asset register'!$C30="","",K31-J31)</f>
        <v/>
      </c>
      <c r="G31" s="24">
        <f>IF('Asset register'!$C30="","",L31-K31)</f>
        <v/>
      </c>
      <c r="H31" s="24">
        <f>IF('Asset register'!$C30="","",M31-L31)</f>
        <v/>
      </c>
      <c r="I31" s="24">
        <f>IF('Asset register'!$C30="","",IF('Asset register'!$E30="",0,'Asset register'!$J30*MAX(0,MIN('Asset register'!$H30*12,(YEAR(D$7)-YEAR('Asset register'!$E30))*12+MONTH(D$7)-MONTH('Asset register'!$E30)+1))))</f>
        <v/>
      </c>
      <c r="J31" s="24">
        <f>IF('Asset register'!$C30="","",IF('Asset register'!$E30="",0,'Asset register'!$J30*MAX(0,MIN('Asset register'!$H30*12,(YEAR(E$7)-YEAR('Asset register'!$E30))*12+MONTH(E$7)-MONTH('Asset register'!$E30)+1))))</f>
        <v/>
      </c>
      <c r="K31" s="24">
        <f>IF('Asset register'!$C30="","",IF('Asset register'!$E30="",0,'Asset register'!$J30*MAX(0,MIN('Asset register'!$H30*12,(YEAR(F$7)-YEAR('Asset register'!$E30))*12+MONTH(F$7)-MONTH('Asset register'!$E30)+1))))</f>
        <v/>
      </c>
      <c r="L31" s="24">
        <f>IF('Asset register'!$C30="","",IF('Asset register'!$E30="",0,'Asset register'!$J30*MAX(0,MIN('Asset register'!$H30*12,(YEAR(G$7)-YEAR('Asset register'!$E30))*12+MONTH(G$7)-MONTH('Asset register'!$E30)+1))))</f>
        <v/>
      </c>
      <c r="M31" s="24">
        <f>IF('Asset register'!$C30="","",IF('Asset register'!$E30="",0,'Asset register'!$J30*MAX(0,MIN('Asset register'!$H30*12,(YEAR(H$7)-YEAR('Asset register'!$E30))*12+MONTH(H$7)-MONTH('Asset register'!$E30)+1))))</f>
        <v/>
      </c>
      <c r="N31" s="24">
        <f>IF('Asset register'!$C30="","",IF(OR('Asset register'!$E30="",'Asset register'!$E30&gt;D$7),0,N('Asset register'!$F30)-I31))</f>
        <v/>
      </c>
      <c r="O31" s="24">
        <f>IF('Asset register'!$C30="","",IF(OR('Asset register'!$E30="",'Asset register'!$E30&gt;E$7),0,N('Asset register'!$F30)-J31))</f>
        <v/>
      </c>
      <c r="P31" s="24">
        <f>IF('Asset register'!$C30="","",IF(OR('Asset register'!$E30="",'Asset register'!$E30&gt;F$7),0,N('Asset register'!$F30)-K31))</f>
        <v/>
      </c>
      <c r="Q31" s="24">
        <f>IF('Asset register'!$C30="","",IF(OR('Asset register'!$E30="",'Asset register'!$E30&gt;G$7),0,N('Asset register'!$F30)-L31))</f>
        <v/>
      </c>
      <c r="R31" s="24">
        <f>IF('Asset register'!$C30="","",IF(OR('Asset register'!$E30="",'Asset register'!$E30&gt;H$7),0,N('Asset register'!$F30)-M31))</f>
        <v/>
      </c>
    </row>
    <row r="32">
      <c r="B32" s="46">
        <f>IF('Asset register'!B31="","",'Asset register'!B31)</f>
        <v/>
      </c>
      <c r="C32" s="46">
        <f>IF('Asset register'!C31="","",'Asset register'!C31)</f>
        <v/>
      </c>
      <c r="D32" s="24">
        <f>IF('Asset register'!$C31="","",I32-'Asset register'!$M31)</f>
        <v/>
      </c>
      <c r="E32" s="24">
        <f>IF('Asset register'!$C31="","",J32-I32)</f>
        <v/>
      </c>
      <c r="F32" s="24">
        <f>IF('Asset register'!$C31="","",K32-J32)</f>
        <v/>
      </c>
      <c r="G32" s="24">
        <f>IF('Asset register'!$C31="","",L32-K32)</f>
        <v/>
      </c>
      <c r="H32" s="24">
        <f>IF('Asset register'!$C31="","",M32-L32)</f>
        <v/>
      </c>
      <c r="I32" s="24">
        <f>IF('Asset register'!$C31="","",IF('Asset register'!$E31="",0,'Asset register'!$J31*MAX(0,MIN('Asset register'!$H31*12,(YEAR(D$7)-YEAR('Asset register'!$E31))*12+MONTH(D$7)-MONTH('Asset register'!$E31)+1))))</f>
        <v/>
      </c>
      <c r="J32" s="24">
        <f>IF('Asset register'!$C31="","",IF('Asset register'!$E31="",0,'Asset register'!$J31*MAX(0,MIN('Asset register'!$H31*12,(YEAR(E$7)-YEAR('Asset register'!$E31))*12+MONTH(E$7)-MONTH('Asset register'!$E31)+1))))</f>
        <v/>
      </c>
      <c r="K32" s="24">
        <f>IF('Asset register'!$C31="","",IF('Asset register'!$E31="",0,'Asset register'!$J31*MAX(0,MIN('Asset register'!$H31*12,(YEAR(F$7)-YEAR('Asset register'!$E31))*12+MONTH(F$7)-MONTH('Asset register'!$E31)+1))))</f>
        <v/>
      </c>
      <c r="L32" s="24">
        <f>IF('Asset register'!$C31="","",IF('Asset register'!$E31="",0,'Asset register'!$J31*MAX(0,MIN('Asset register'!$H31*12,(YEAR(G$7)-YEAR('Asset register'!$E31))*12+MONTH(G$7)-MONTH('Asset register'!$E31)+1))))</f>
        <v/>
      </c>
      <c r="M32" s="24">
        <f>IF('Asset register'!$C31="","",IF('Asset register'!$E31="",0,'Asset register'!$J31*MAX(0,MIN('Asset register'!$H31*12,(YEAR(H$7)-YEAR('Asset register'!$E31))*12+MONTH(H$7)-MONTH('Asset register'!$E31)+1))))</f>
        <v/>
      </c>
      <c r="N32" s="24">
        <f>IF('Asset register'!$C31="","",IF(OR('Asset register'!$E31="",'Asset register'!$E31&gt;D$7),0,N('Asset register'!$F31)-I32))</f>
        <v/>
      </c>
      <c r="O32" s="24">
        <f>IF('Asset register'!$C31="","",IF(OR('Asset register'!$E31="",'Asset register'!$E31&gt;E$7),0,N('Asset register'!$F31)-J32))</f>
        <v/>
      </c>
      <c r="P32" s="24">
        <f>IF('Asset register'!$C31="","",IF(OR('Asset register'!$E31="",'Asset register'!$E31&gt;F$7),0,N('Asset register'!$F31)-K32))</f>
        <v/>
      </c>
      <c r="Q32" s="24">
        <f>IF('Asset register'!$C31="","",IF(OR('Asset register'!$E31="",'Asset register'!$E31&gt;G$7),0,N('Asset register'!$F31)-L32))</f>
        <v/>
      </c>
      <c r="R32" s="24">
        <f>IF('Asset register'!$C31="","",IF(OR('Asset register'!$E31="",'Asset register'!$E31&gt;H$7),0,N('Asset register'!$F31)-M32))</f>
        <v/>
      </c>
    </row>
    <row r="33">
      <c r="B33" s="46">
        <f>IF('Asset register'!B32="","",'Asset register'!B32)</f>
        <v/>
      </c>
      <c r="C33" s="46">
        <f>IF('Asset register'!C32="","",'Asset register'!C32)</f>
        <v/>
      </c>
      <c r="D33" s="24">
        <f>IF('Asset register'!$C32="","",I33-'Asset register'!$M32)</f>
        <v/>
      </c>
      <c r="E33" s="24">
        <f>IF('Asset register'!$C32="","",J33-I33)</f>
        <v/>
      </c>
      <c r="F33" s="24">
        <f>IF('Asset register'!$C32="","",K33-J33)</f>
        <v/>
      </c>
      <c r="G33" s="24">
        <f>IF('Asset register'!$C32="","",L33-K33)</f>
        <v/>
      </c>
      <c r="H33" s="24">
        <f>IF('Asset register'!$C32="","",M33-L33)</f>
        <v/>
      </c>
      <c r="I33" s="24">
        <f>IF('Asset register'!$C32="","",IF('Asset register'!$E32="",0,'Asset register'!$J32*MAX(0,MIN('Asset register'!$H32*12,(YEAR(D$7)-YEAR('Asset register'!$E32))*12+MONTH(D$7)-MONTH('Asset register'!$E32)+1))))</f>
        <v/>
      </c>
      <c r="J33" s="24">
        <f>IF('Asset register'!$C32="","",IF('Asset register'!$E32="",0,'Asset register'!$J32*MAX(0,MIN('Asset register'!$H32*12,(YEAR(E$7)-YEAR('Asset register'!$E32))*12+MONTH(E$7)-MONTH('Asset register'!$E32)+1))))</f>
        <v/>
      </c>
      <c r="K33" s="24">
        <f>IF('Asset register'!$C32="","",IF('Asset register'!$E32="",0,'Asset register'!$J32*MAX(0,MIN('Asset register'!$H32*12,(YEAR(F$7)-YEAR('Asset register'!$E32))*12+MONTH(F$7)-MONTH('Asset register'!$E32)+1))))</f>
        <v/>
      </c>
      <c r="L33" s="24">
        <f>IF('Asset register'!$C32="","",IF('Asset register'!$E32="",0,'Asset register'!$J32*MAX(0,MIN('Asset register'!$H32*12,(YEAR(G$7)-YEAR('Asset register'!$E32))*12+MONTH(G$7)-MONTH('Asset register'!$E32)+1))))</f>
        <v/>
      </c>
      <c r="M33" s="24">
        <f>IF('Asset register'!$C32="","",IF('Asset register'!$E32="",0,'Asset register'!$J32*MAX(0,MIN('Asset register'!$H32*12,(YEAR(H$7)-YEAR('Asset register'!$E32))*12+MONTH(H$7)-MONTH('Asset register'!$E32)+1))))</f>
        <v/>
      </c>
      <c r="N33" s="24">
        <f>IF('Asset register'!$C32="","",IF(OR('Asset register'!$E32="",'Asset register'!$E32&gt;D$7),0,N('Asset register'!$F32)-I33))</f>
        <v/>
      </c>
      <c r="O33" s="24">
        <f>IF('Asset register'!$C32="","",IF(OR('Asset register'!$E32="",'Asset register'!$E32&gt;E$7),0,N('Asset register'!$F32)-J33))</f>
        <v/>
      </c>
      <c r="P33" s="24">
        <f>IF('Asset register'!$C32="","",IF(OR('Asset register'!$E32="",'Asset register'!$E32&gt;F$7),0,N('Asset register'!$F32)-K33))</f>
        <v/>
      </c>
      <c r="Q33" s="24">
        <f>IF('Asset register'!$C32="","",IF(OR('Asset register'!$E32="",'Asset register'!$E32&gt;G$7),0,N('Asset register'!$F32)-L33))</f>
        <v/>
      </c>
      <c r="R33" s="24">
        <f>IF('Asset register'!$C32="","",IF(OR('Asset register'!$E32="",'Asset register'!$E32&gt;H$7),0,N('Asset register'!$F32)-M33))</f>
        <v/>
      </c>
    </row>
    <row r="34">
      <c r="B34" s="46">
        <f>IF('Asset register'!B33="","",'Asset register'!B33)</f>
        <v/>
      </c>
      <c r="C34" s="46">
        <f>IF('Asset register'!C33="","",'Asset register'!C33)</f>
        <v/>
      </c>
      <c r="D34" s="24">
        <f>IF('Asset register'!$C33="","",I34-'Asset register'!$M33)</f>
        <v/>
      </c>
      <c r="E34" s="24">
        <f>IF('Asset register'!$C33="","",J34-I34)</f>
        <v/>
      </c>
      <c r="F34" s="24">
        <f>IF('Asset register'!$C33="","",K34-J34)</f>
        <v/>
      </c>
      <c r="G34" s="24">
        <f>IF('Asset register'!$C33="","",L34-K34)</f>
        <v/>
      </c>
      <c r="H34" s="24">
        <f>IF('Asset register'!$C33="","",M34-L34)</f>
        <v/>
      </c>
      <c r="I34" s="24">
        <f>IF('Asset register'!$C33="","",IF('Asset register'!$E33="",0,'Asset register'!$J33*MAX(0,MIN('Asset register'!$H33*12,(YEAR(D$7)-YEAR('Asset register'!$E33))*12+MONTH(D$7)-MONTH('Asset register'!$E33)+1))))</f>
        <v/>
      </c>
      <c r="J34" s="24">
        <f>IF('Asset register'!$C33="","",IF('Asset register'!$E33="",0,'Asset register'!$J33*MAX(0,MIN('Asset register'!$H33*12,(YEAR(E$7)-YEAR('Asset register'!$E33))*12+MONTH(E$7)-MONTH('Asset register'!$E33)+1))))</f>
        <v/>
      </c>
      <c r="K34" s="24">
        <f>IF('Asset register'!$C33="","",IF('Asset register'!$E33="",0,'Asset register'!$J33*MAX(0,MIN('Asset register'!$H33*12,(YEAR(F$7)-YEAR('Asset register'!$E33))*12+MONTH(F$7)-MONTH('Asset register'!$E33)+1))))</f>
        <v/>
      </c>
      <c r="L34" s="24">
        <f>IF('Asset register'!$C33="","",IF('Asset register'!$E33="",0,'Asset register'!$J33*MAX(0,MIN('Asset register'!$H33*12,(YEAR(G$7)-YEAR('Asset register'!$E33))*12+MONTH(G$7)-MONTH('Asset register'!$E33)+1))))</f>
        <v/>
      </c>
      <c r="M34" s="24">
        <f>IF('Asset register'!$C33="","",IF('Asset register'!$E33="",0,'Asset register'!$J33*MAX(0,MIN('Asset register'!$H33*12,(YEAR(H$7)-YEAR('Asset register'!$E33))*12+MONTH(H$7)-MONTH('Asset register'!$E33)+1))))</f>
        <v/>
      </c>
      <c r="N34" s="24">
        <f>IF('Asset register'!$C33="","",IF(OR('Asset register'!$E33="",'Asset register'!$E33&gt;D$7),0,N('Asset register'!$F33)-I34))</f>
        <v/>
      </c>
      <c r="O34" s="24">
        <f>IF('Asset register'!$C33="","",IF(OR('Asset register'!$E33="",'Asset register'!$E33&gt;E$7),0,N('Asset register'!$F33)-J34))</f>
        <v/>
      </c>
      <c r="P34" s="24">
        <f>IF('Asset register'!$C33="","",IF(OR('Asset register'!$E33="",'Asset register'!$E33&gt;F$7),0,N('Asset register'!$F33)-K34))</f>
        <v/>
      </c>
      <c r="Q34" s="24">
        <f>IF('Asset register'!$C33="","",IF(OR('Asset register'!$E33="",'Asset register'!$E33&gt;G$7),0,N('Asset register'!$F33)-L34))</f>
        <v/>
      </c>
      <c r="R34" s="24">
        <f>IF('Asset register'!$C33="","",IF(OR('Asset register'!$E33="",'Asset register'!$E33&gt;H$7),0,N('Asset register'!$F33)-M34))</f>
        <v/>
      </c>
    </row>
    <row r="35">
      <c r="B35" s="46">
        <f>IF('Asset register'!B34="","",'Asset register'!B34)</f>
        <v/>
      </c>
      <c r="C35" s="46">
        <f>IF('Asset register'!C34="","",'Asset register'!C34)</f>
        <v/>
      </c>
      <c r="D35" s="24">
        <f>IF('Asset register'!$C34="","",I35-'Asset register'!$M34)</f>
        <v/>
      </c>
      <c r="E35" s="24">
        <f>IF('Asset register'!$C34="","",J35-I35)</f>
        <v/>
      </c>
      <c r="F35" s="24">
        <f>IF('Asset register'!$C34="","",K35-J35)</f>
        <v/>
      </c>
      <c r="G35" s="24">
        <f>IF('Asset register'!$C34="","",L35-K35)</f>
        <v/>
      </c>
      <c r="H35" s="24">
        <f>IF('Asset register'!$C34="","",M35-L35)</f>
        <v/>
      </c>
      <c r="I35" s="24">
        <f>IF('Asset register'!$C34="","",IF('Asset register'!$E34="",0,'Asset register'!$J34*MAX(0,MIN('Asset register'!$H34*12,(YEAR(D$7)-YEAR('Asset register'!$E34))*12+MONTH(D$7)-MONTH('Asset register'!$E34)+1))))</f>
        <v/>
      </c>
      <c r="J35" s="24">
        <f>IF('Asset register'!$C34="","",IF('Asset register'!$E34="",0,'Asset register'!$J34*MAX(0,MIN('Asset register'!$H34*12,(YEAR(E$7)-YEAR('Asset register'!$E34))*12+MONTH(E$7)-MONTH('Asset register'!$E34)+1))))</f>
        <v/>
      </c>
      <c r="K35" s="24">
        <f>IF('Asset register'!$C34="","",IF('Asset register'!$E34="",0,'Asset register'!$J34*MAX(0,MIN('Asset register'!$H34*12,(YEAR(F$7)-YEAR('Asset register'!$E34))*12+MONTH(F$7)-MONTH('Asset register'!$E34)+1))))</f>
        <v/>
      </c>
      <c r="L35" s="24">
        <f>IF('Asset register'!$C34="","",IF('Asset register'!$E34="",0,'Asset register'!$J34*MAX(0,MIN('Asset register'!$H34*12,(YEAR(G$7)-YEAR('Asset register'!$E34))*12+MONTH(G$7)-MONTH('Asset register'!$E34)+1))))</f>
        <v/>
      </c>
      <c r="M35" s="24">
        <f>IF('Asset register'!$C34="","",IF('Asset register'!$E34="",0,'Asset register'!$J34*MAX(0,MIN('Asset register'!$H34*12,(YEAR(H$7)-YEAR('Asset register'!$E34))*12+MONTH(H$7)-MONTH('Asset register'!$E34)+1))))</f>
        <v/>
      </c>
      <c r="N35" s="24">
        <f>IF('Asset register'!$C34="","",IF(OR('Asset register'!$E34="",'Asset register'!$E34&gt;D$7),0,N('Asset register'!$F34)-I35))</f>
        <v/>
      </c>
      <c r="O35" s="24">
        <f>IF('Asset register'!$C34="","",IF(OR('Asset register'!$E34="",'Asset register'!$E34&gt;E$7),0,N('Asset register'!$F34)-J35))</f>
        <v/>
      </c>
      <c r="P35" s="24">
        <f>IF('Asset register'!$C34="","",IF(OR('Asset register'!$E34="",'Asset register'!$E34&gt;F$7),0,N('Asset register'!$F34)-K35))</f>
        <v/>
      </c>
      <c r="Q35" s="24">
        <f>IF('Asset register'!$C34="","",IF(OR('Asset register'!$E34="",'Asset register'!$E34&gt;G$7),0,N('Asset register'!$F34)-L35))</f>
        <v/>
      </c>
      <c r="R35" s="24">
        <f>IF('Asset register'!$C34="","",IF(OR('Asset register'!$E34="",'Asset register'!$E34&gt;H$7),0,N('Asset register'!$F34)-M35))</f>
        <v/>
      </c>
    </row>
    <row r="36">
      <c r="B36" s="46">
        <f>IF('Asset register'!B35="","",'Asset register'!B35)</f>
        <v/>
      </c>
      <c r="C36" s="46">
        <f>IF('Asset register'!C35="","",'Asset register'!C35)</f>
        <v/>
      </c>
      <c r="D36" s="24">
        <f>IF('Asset register'!$C35="","",I36-'Asset register'!$M35)</f>
        <v/>
      </c>
      <c r="E36" s="24">
        <f>IF('Asset register'!$C35="","",J36-I36)</f>
        <v/>
      </c>
      <c r="F36" s="24">
        <f>IF('Asset register'!$C35="","",K36-J36)</f>
        <v/>
      </c>
      <c r="G36" s="24">
        <f>IF('Asset register'!$C35="","",L36-K36)</f>
        <v/>
      </c>
      <c r="H36" s="24">
        <f>IF('Asset register'!$C35="","",M36-L36)</f>
        <v/>
      </c>
      <c r="I36" s="24">
        <f>IF('Asset register'!$C35="","",IF('Asset register'!$E35="",0,'Asset register'!$J35*MAX(0,MIN('Asset register'!$H35*12,(YEAR(D$7)-YEAR('Asset register'!$E35))*12+MONTH(D$7)-MONTH('Asset register'!$E35)+1))))</f>
        <v/>
      </c>
      <c r="J36" s="24">
        <f>IF('Asset register'!$C35="","",IF('Asset register'!$E35="",0,'Asset register'!$J35*MAX(0,MIN('Asset register'!$H35*12,(YEAR(E$7)-YEAR('Asset register'!$E35))*12+MONTH(E$7)-MONTH('Asset register'!$E35)+1))))</f>
        <v/>
      </c>
      <c r="K36" s="24">
        <f>IF('Asset register'!$C35="","",IF('Asset register'!$E35="",0,'Asset register'!$J35*MAX(0,MIN('Asset register'!$H35*12,(YEAR(F$7)-YEAR('Asset register'!$E35))*12+MONTH(F$7)-MONTH('Asset register'!$E35)+1))))</f>
        <v/>
      </c>
      <c r="L36" s="24">
        <f>IF('Asset register'!$C35="","",IF('Asset register'!$E35="",0,'Asset register'!$J35*MAX(0,MIN('Asset register'!$H35*12,(YEAR(G$7)-YEAR('Asset register'!$E35))*12+MONTH(G$7)-MONTH('Asset register'!$E35)+1))))</f>
        <v/>
      </c>
      <c r="M36" s="24">
        <f>IF('Asset register'!$C35="","",IF('Asset register'!$E35="",0,'Asset register'!$J35*MAX(0,MIN('Asset register'!$H35*12,(YEAR(H$7)-YEAR('Asset register'!$E35))*12+MONTH(H$7)-MONTH('Asset register'!$E35)+1))))</f>
        <v/>
      </c>
      <c r="N36" s="24">
        <f>IF('Asset register'!$C35="","",IF(OR('Asset register'!$E35="",'Asset register'!$E35&gt;D$7),0,N('Asset register'!$F35)-I36))</f>
        <v/>
      </c>
      <c r="O36" s="24">
        <f>IF('Asset register'!$C35="","",IF(OR('Asset register'!$E35="",'Asset register'!$E35&gt;E$7),0,N('Asset register'!$F35)-J36))</f>
        <v/>
      </c>
      <c r="P36" s="24">
        <f>IF('Asset register'!$C35="","",IF(OR('Asset register'!$E35="",'Asset register'!$E35&gt;F$7),0,N('Asset register'!$F35)-K36))</f>
        <v/>
      </c>
      <c r="Q36" s="24">
        <f>IF('Asset register'!$C35="","",IF(OR('Asset register'!$E35="",'Asset register'!$E35&gt;G$7),0,N('Asset register'!$F35)-L36))</f>
        <v/>
      </c>
      <c r="R36" s="24">
        <f>IF('Asset register'!$C35="","",IF(OR('Asset register'!$E35="",'Asset register'!$E35&gt;H$7),0,N('Asset register'!$F35)-M36))</f>
        <v/>
      </c>
    </row>
    <row r="37">
      <c r="B37" s="46">
        <f>IF('Asset register'!B36="","",'Asset register'!B36)</f>
        <v/>
      </c>
      <c r="C37" s="46">
        <f>IF('Asset register'!C36="","",'Asset register'!C36)</f>
        <v/>
      </c>
      <c r="D37" s="24">
        <f>IF('Asset register'!$C36="","",I37-'Asset register'!$M36)</f>
        <v/>
      </c>
      <c r="E37" s="24">
        <f>IF('Asset register'!$C36="","",J37-I37)</f>
        <v/>
      </c>
      <c r="F37" s="24">
        <f>IF('Asset register'!$C36="","",K37-J37)</f>
        <v/>
      </c>
      <c r="G37" s="24">
        <f>IF('Asset register'!$C36="","",L37-K37)</f>
        <v/>
      </c>
      <c r="H37" s="24">
        <f>IF('Asset register'!$C36="","",M37-L37)</f>
        <v/>
      </c>
      <c r="I37" s="24">
        <f>IF('Asset register'!$C36="","",IF('Asset register'!$E36="",0,'Asset register'!$J36*MAX(0,MIN('Asset register'!$H36*12,(YEAR(D$7)-YEAR('Asset register'!$E36))*12+MONTH(D$7)-MONTH('Asset register'!$E36)+1))))</f>
        <v/>
      </c>
      <c r="J37" s="24">
        <f>IF('Asset register'!$C36="","",IF('Asset register'!$E36="",0,'Asset register'!$J36*MAX(0,MIN('Asset register'!$H36*12,(YEAR(E$7)-YEAR('Asset register'!$E36))*12+MONTH(E$7)-MONTH('Asset register'!$E36)+1))))</f>
        <v/>
      </c>
      <c r="K37" s="24">
        <f>IF('Asset register'!$C36="","",IF('Asset register'!$E36="",0,'Asset register'!$J36*MAX(0,MIN('Asset register'!$H36*12,(YEAR(F$7)-YEAR('Asset register'!$E36))*12+MONTH(F$7)-MONTH('Asset register'!$E36)+1))))</f>
        <v/>
      </c>
      <c r="L37" s="24">
        <f>IF('Asset register'!$C36="","",IF('Asset register'!$E36="",0,'Asset register'!$J36*MAX(0,MIN('Asset register'!$H36*12,(YEAR(G$7)-YEAR('Asset register'!$E36))*12+MONTH(G$7)-MONTH('Asset register'!$E36)+1))))</f>
        <v/>
      </c>
      <c r="M37" s="24">
        <f>IF('Asset register'!$C36="","",IF('Asset register'!$E36="",0,'Asset register'!$J36*MAX(0,MIN('Asset register'!$H36*12,(YEAR(H$7)-YEAR('Asset register'!$E36))*12+MONTH(H$7)-MONTH('Asset register'!$E36)+1))))</f>
        <v/>
      </c>
      <c r="N37" s="24">
        <f>IF('Asset register'!$C36="","",IF(OR('Asset register'!$E36="",'Asset register'!$E36&gt;D$7),0,N('Asset register'!$F36)-I37))</f>
        <v/>
      </c>
      <c r="O37" s="24">
        <f>IF('Asset register'!$C36="","",IF(OR('Asset register'!$E36="",'Asset register'!$E36&gt;E$7),0,N('Asset register'!$F36)-J37))</f>
        <v/>
      </c>
      <c r="P37" s="24">
        <f>IF('Asset register'!$C36="","",IF(OR('Asset register'!$E36="",'Asset register'!$E36&gt;F$7),0,N('Asset register'!$F36)-K37))</f>
        <v/>
      </c>
      <c r="Q37" s="24">
        <f>IF('Asset register'!$C36="","",IF(OR('Asset register'!$E36="",'Asset register'!$E36&gt;G$7),0,N('Asset register'!$F36)-L37))</f>
        <v/>
      </c>
      <c r="R37" s="24">
        <f>IF('Asset register'!$C36="","",IF(OR('Asset register'!$E36="",'Asset register'!$E36&gt;H$7),0,N('Asset register'!$F36)-M37))</f>
        <v/>
      </c>
    </row>
    <row r="38">
      <c r="B38" s="25" t="inlineStr">
        <is>
          <t>Total</t>
        </is>
      </c>
      <c r="C38" s="25" t="n"/>
      <c r="D38" s="26">
        <f>SUM(D8:D37)</f>
        <v>141675</v>
      </c>
      <c r="E38" s="26">
        <f>SUM(E8:E37)</f>
        <v>142225</v>
      </c>
      <c r="F38" s="26">
        <f>SUM(F8:F37)</f>
        <v>128419.444444444</v>
      </c>
      <c r="G38" s="26">
        <f>SUM(G8:G37)</f>
        <v>125225</v>
      </c>
      <c r="H38" s="26">
        <f>SUM(H8:H37)</f>
        <v>109975</v>
      </c>
      <c r="I38" s="26">
        <f>SUM(I8:I37)</f>
        <v>394151.388888889</v>
      </c>
      <c r="J38" s="26">
        <f>SUM(J8:J37)</f>
        <v>536376.388888889</v>
      </c>
      <c r="K38" s="26">
        <f>SUM(K8:K37)</f>
        <v>664795.833333333</v>
      </c>
      <c r="L38" s="26">
        <f>SUM(L8:L37)</f>
        <v>790020.833333333</v>
      </c>
      <c r="M38" s="26">
        <f>SUM(M8:M37)</f>
        <v>899995.833333333</v>
      </c>
      <c r="N38" s="26">
        <f>SUM(N8:N37)</f>
        <v>990848.611111111</v>
      </c>
      <c r="O38" s="26">
        <f>SUM(O8:O37)</f>
        <v>928623.611111111</v>
      </c>
      <c r="P38" s="26">
        <f>SUM(P8:P37)</f>
        <v>800204.166666667</v>
      </c>
      <c r="Q38" s="26">
        <f>SUM(Q8:Q37)</f>
        <v>674979.166666667</v>
      </c>
      <c r="R38" s="26">
        <f>SUM(R8:R37)</f>
        <v>565004.166666667</v>
      </c>
    </row>
    <row r="40">
      <c r="B40" s="16" t="inlineStr">
        <is>
          <t>All figures on this sheet are calculated from the Asset register. Do not type here.</t>
        </is>
      </c>
    </row>
    <row r="41">
      <c r="B41" s="17" t="inlineStr">
        <is>
          <t>axcellservice.com · Free template · Book a free 30-minute consultation: axcellservice.com/contact</t>
        </is>
      </c>
    </row>
  </sheetData>
  <mergeCells count="3">
    <mergeCell ref="D5:H5"/>
    <mergeCell ref="N5:R5"/>
    <mergeCell ref="I5:M5"/>
  </mergeCells>
  <printOptions horizontalCentered="1"/>
  <pageMargins left="0.4" right="0.4" top="1" bottom="1" header="0.5" footer="0.5"/>
  <pageSetup orientation="landscape" paperSize="9" fitToHeight="0" fitToWidth="1"/>
  <headerFooter>
    <oddHeader/>
    <oddFooter>&amp;L&amp;8 Axcell Financial Consulting · axcellservice.com · Free template&amp;R&amp;8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B1:N137"/>
  <sheetViews>
    <sheetView showGridLines="0" workbookViewId="0">
      <selection activeCell="A1" sqref="A1"/>
    </sheetView>
  </sheetViews>
  <sheetFormatPr baseColWidth="8" defaultRowHeight="15"/>
  <cols>
    <col width="2" customWidth="1" min="1" max="1"/>
    <col width="10" customWidth="1" min="2" max="2"/>
    <col width="13" customWidth="1" min="3" max="3"/>
    <col width="15" customWidth="1" min="4" max="4"/>
    <col width="14" customWidth="1" min="5" max="5"/>
    <col width="14" customWidth="1" min="6" max="6"/>
    <col width="14" customWidth="1" min="7" max="7"/>
    <col width="15" customWidth="1" min="8" max="8"/>
    <col width="3" customWidth="1" min="9" max="9"/>
    <col width="30" customWidth="1" min="10" max="10"/>
    <col width="13" customWidth="1" min="11" max="11"/>
    <col width="14" customWidth="1" min="12" max="12"/>
    <col width="14" customWidth="1" min="13" max="13"/>
    <col width="14" customWidth="1" min="14" max="14"/>
  </cols>
  <sheetData>
    <row r="1" ht="26" customHeight="1">
      <c r="B1" s="18" t="inlineStr">
        <is>
          <t>Loan amortization schedule</t>
        </is>
      </c>
    </row>
    <row r="2">
      <c r="B2" s="19" t="str">
        <f>"Axcell Financial Consulting · "&amp;'Start here'!$C$19&amp;" · all amounts in "&amp;'Start here'!$C$20</f>
        <v>Axcell Financial Consulting · Example Mfg Co. · all amounts in Your currency</v>
      </c>
    </row>
    <row r="4">
      <c r="B4" s="4" t="inlineStr">
        <is>
          <t>LOAN DETAILS</t>
        </is>
      </c>
      <c r="C4" s="5" t="n"/>
      <c r="D4" s="5" t="n"/>
      <c r="E4" s="5" t="n"/>
      <c r="F4" s="5" t="n"/>
      <c r="G4" s="5" t="n"/>
      <c r="H4" s="5" t="n"/>
      <c r="J4" s="4" t="inlineStr">
        <is>
          <t>ANNUAL SUMMARY BY FINANCIAL YEAR</t>
        </is>
      </c>
      <c r="K4" s="5" t="n"/>
      <c r="L4" s="5" t="n"/>
      <c r="M4" s="5" t="n"/>
      <c r="N4" s="5" t="n"/>
    </row>
    <row r="5">
      <c r="B5" s="23" t="inlineStr">
        <is>
          <t>Loan description</t>
        </is>
      </c>
      <c r="C5" s="46" t="n"/>
      <c r="D5" s="47" t="inlineStr">
        <is>
          <t>Example: equipment loan</t>
        </is>
      </c>
      <c r="F5" s="23" t="inlineStr">
        <is>
          <t>Monthly payment</t>
        </is>
      </c>
      <c r="G5" s="46" t="n"/>
      <c r="H5" s="48">
        <f>IF(OR($D$6=0,$D$8&lt;=0),0,IF($D$7=0,$D$6/$D$8,PMT($D$7/12,$D$8,-$D$6)))</f>
        <v>12442.5211869671</v>
      </c>
      <c r="J5" s="16" t="inlineStr">
        <is>
          <t>Financial years follow 'First day of Year 1' on the Start here sheet.</t>
        </is>
      </c>
    </row>
    <row r="6" ht="15" customHeight="1">
      <c r="B6" s="23" t="inlineStr">
        <is>
          <t>Amount borrowed (principal)</t>
        </is>
      </c>
      <c r="C6" s="46" t="n"/>
      <c r="D6" s="49" t="n">
        <v>500000</v>
      </c>
      <c r="F6" s="23" t="inlineStr">
        <is>
          <t>First payment date</t>
        </is>
      </c>
      <c r="G6" s="46" t="n"/>
      <c r="H6" s="50">
        <f>EDATE($D$9,1)</f>
        <v>46113.0</v>
      </c>
      <c r="J6" s="51" t="inlineStr">
        <is>
          <t>Due within 12 months = the part of the closing balance to be repaid in the next 12 months (current portion).</t>
        </is>
      </c>
    </row>
    <row r="7">
      <c r="B7" s="23" t="inlineStr">
        <is>
          <t>Annual interest rate</t>
        </is>
      </c>
      <c r="C7" s="46" t="n"/>
      <c r="D7" s="52" t="n">
        <v>0.09</v>
      </c>
      <c r="F7" s="23" t="inlineStr">
        <is>
          <t>Last payment date</t>
        </is>
      </c>
      <c r="G7" s="46" t="n"/>
      <c r="H7" s="50">
        <f>EDATE($D$9,$D$8)</f>
        <v>47543.0</v>
      </c>
    </row>
    <row r="8">
      <c r="B8" s="23" t="inlineStr">
        <is>
          <t>Term (months, max 120)</t>
        </is>
      </c>
      <c r="C8" s="46" t="n"/>
      <c r="D8" s="53" t="n">
        <v>48</v>
      </c>
      <c r="F8" s="23" t="inlineStr">
        <is>
          <t>Total of all payments</t>
        </is>
      </c>
      <c r="G8" s="46" t="n"/>
      <c r="H8" s="54">
        <f>SUM(E13:E132)</f>
        <v>597241.016974421</v>
      </c>
    </row>
    <row r="9">
      <c r="B9" s="23" t="inlineStr">
        <is>
          <t>Drawdown date</t>
        </is>
      </c>
      <c r="C9" s="46" t="n"/>
      <c r="D9" s="55" t="n">
        <v>46082</v>
      </c>
      <c r="F9" s="23" t="inlineStr">
        <is>
          <t>Total interest over the loan</t>
        </is>
      </c>
      <c r="G9" s="46" t="n"/>
      <c r="H9" s="54">
        <f>SUM(F13:F132)</f>
        <v>97241.016974421</v>
      </c>
      <c r="J9" s="21" t="inlineStr">
        <is>
          <t>Year</t>
        </is>
      </c>
      <c r="K9" s="21" t="inlineStr">
        <is>
          <t>Year ends</t>
        </is>
      </c>
      <c r="L9" s="21" t="inlineStr">
        <is>
          <t>Opening balance</t>
        </is>
      </c>
      <c r="M9" s="21" t="inlineStr">
        <is>
          <t>New borrowing</t>
        </is>
      </c>
      <c r="N9" s="21" t="inlineStr">
        <is>
          <t>Interest</t>
        </is>
      </c>
    </row>
    <row r="10">
      <c r="J10" s="23" t="inlineStr">
        <is>
          <t>Year 1</t>
        </is>
      </c>
      <c r="K10" s="56">
        <f>(EDATE('Start here'!$C$21,12)-1)</f>
        <v>46387.0</v>
      </c>
      <c r="L10" s="24">
        <f>IF($D$9&gt;=EDATE('Start here'!$C$21,0),0,$D$6-SUMIFS($G$13:$G$132,$C$13:$C$132,"&lt;"&amp;EDATE('Start here'!$C$21,0)))</f>
        <v>0</v>
      </c>
      <c r="M10" s="24">
        <f>IF(AND($D$9&gt;=EDATE('Start here'!$C$21,0),$D$9&lt;=(EDATE('Start here'!$C$21,12)-1)),$D$6,0)</f>
        <v>500000</v>
      </c>
      <c r="N10" s="24">
        <f>SUMIFS($F$13:$F$132,$C$13:$C$132,"&gt;="&amp;EDATE('Start here'!$C$21,0),$C$13:$C$132,"&lt;="&amp;(EDATE('Start here'!$C$21,12)-1))</f>
        <v>31361.4815722343</v>
      </c>
    </row>
    <row r="11">
      <c r="J11" s="23" t="inlineStr">
        <is>
          <t>Year 2</t>
        </is>
      </c>
      <c r="K11" s="56">
        <f>(EDATE('Start here'!$C$21,24)-1)</f>
        <v>46752.0</v>
      </c>
      <c r="L11" s="24">
        <f>IF($D$9&gt;=EDATE('Start here'!$C$21,12),0,$D$6-SUMIFS($G$13:$G$132,$C$13:$C$132,"&lt;"&amp;EDATE('Start here'!$C$21,12)))</f>
        <v>419378.79088953</v>
      </c>
      <c r="M11" s="24">
        <f>IF(AND($D$9&gt;=EDATE('Start here'!$C$21,12),$D$9&lt;=(EDATE('Start here'!$C$21,24)-1)),$D$6,0)</f>
        <v>0</v>
      </c>
      <c r="N11" s="24">
        <f>SUMIFS($F$13:$F$132,$C$13:$C$132,"&gt;="&amp;EDATE('Start here'!$C$21,12),$C$13:$C$132,"&lt;="&amp;(EDATE('Start here'!$C$21,24)-1))</f>
        <v>33024.9693319784</v>
      </c>
    </row>
    <row r="12" ht="30" customHeight="1">
      <c r="B12" s="21" t="inlineStr">
        <is>
          <t>Payment no.</t>
        </is>
      </c>
      <c r="C12" s="21" t="inlineStr">
        <is>
          <t>Payment date</t>
        </is>
      </c>
      <c r="D12" s="21" t="inlineStr">
        <is>
          <t>Opening balance</t>
        </is>
      </c>
      <c r="E12" s="21" t="inlineStr">
        <is>
          <t>Payment</t>
        </is>
      </c>
      <c r="F12" s="21" t="inlineStr">
        <is>
          <t>Interest</t>
        </is>
      </c>
      <c r="G12" s="21" t="inlineStr">
        <is>
          <t>Principal</t>
        </is>
      </c>
      <c r="H12" s="21" t="inlineStr">
        <is>
          <t>Closing balance</t>
        </is>
      </c>
      <c r="J12" s="23" t="inlineStr">
        <is>
          <t>Year 3</t>
        </is>
      </c>
      <c r="K12" s="56">
        <f>(EDATE('Start here'!$C$21,36)-1)</f>
        <v>47118.0</v>
      </c>
      <c r="L12" s="24">
        <f>IF($D$9&gt;=EDATE('Start here'!$C$21,24),0,$D$6-SUMIFS($G$13:$G$132,$C$13:$C$132,"&lt;"&amp;EDATE('Start here'!$C$21,24)))</f>
        <v>303093.505977904</v>
      </c>
      <c r="M12" s="24">
        <f>IF(AND($D$9&gt;=EDATE('Start here'!$C$21,24),$D$9&lt;=(EDATE('Start here'!$C$21,36)-1)),$D$6,0)</f>
        <v>0</v>
      </c>
      <c r="N12" s="24">
        <f>SUMIFS($F$13:$F$132,$C$13:$C$132,"&gt;="&amp;EDATE('Start here'!$C$21,24),$C$13:$C$132,"&lt;="&amp;(EDATE('Start here'!$C$21,36)-1))</f>
        <v>22116.6075096323</v>
      </c>
    </row>
    <row r="13">
      <c r="B13" s="57" t="n">
        <v>1</v>
      </c>
      <c r="C13" s="58">
        <f>IF($B13&gt;$D$8,"",EDATE($D$9,$B13))</f>
        <v>46113.0</v>
      </c>
      <c r="D13" s="39">
        <f>IF($B13&gt;$D$8,"",$D$6)</f>
        <v>500000</v>
      </c>
      <c r="E13" s="39">
        <f>IF($B13&gt;$D$8,"",IF($B13=$D$8,D13+F13,$H$5))</f>
        <v>12442.5211869671</v>
      </c>
      <c r="F13" s="39">
        <f>IF($B13&gt;$D$8,"",D13*$D$7/12)</f>
        <v>3750</v>
      </c>
      <c r="G13" s="39">
        <f>IF($B13&gt;$D$8,"",E13-F13)</f>
        <v>8692.5211869671</v>
      </c>
      <c r="H13" s="39">
        <f>IF($B13&gt;$D$8,"",D13-G13)</f>
        <v>491307.478813033</v>
      </c>
      <c r="J13" s="23" t="inlineStr">
        <is>
          <t>Year 4</t>
        </is>
      </c>
      <c r="K13" s="56">
        <f>(EDATE('Start here'!$C$21,48)-1)</f>
        <v>47483.0</v>
      </c>
      <c r="L13" s="24">
        <f>IF($D$9&gt;=EDATE('Start here'!$C$21,36),0,$D$6-SUMIFS($G$13:$G$132,$C$13:$C$132,"&lt;"&amp;EDATE('Start here'!$C$21,36)))</f>
        <v>175899.859243931</v>
      </c>
      <c r="M13" s="24">
        <f>IF(AND($D$9&gt;=EDATE('Start here'!$C$21,36),$D$9&lt;=(EDATE('Start here'!$C$21,48)-1)),$D$6,0)</f>
        <v>0</v>
      </c>
      <c r="N13" s="24">
        <f>SUMIFS($F$13:$F$132,$C$13:$C$132,"&gt;="&amp;EDATE('Start here'!$C$21,36),$C$13:$C$132,"&lt;="&amp;(EDATE('Start here'!$C$21,48)-1))</f>
        <v>10184.9661060594</v>
      </c>
    </row>
    <row r="14">
      <c r="B14" s="57" t="n">
        <v>2</v>
      </c>
      <c r="C14" s="58">
        <f>IF($B14&gt;$D$8,"",EDATE($D$9,$B14))</f>
        <v>46143.0</v>
      </c>
      <c r="D14" s="39">
        <f>IF($B14&gt;$D$8,"",H13)</f>
        <v>491307.478813033</v>
      </c>
      <c r="E14" s="39">
        <f>IF($B14&gt;$D$8,"",IF($B14=$D$8,D14+F14,$H$5))</f>
        <v>12442.5211869671</v>
      </c>
      <c r="F14" s="39">
        <f>IF($B14&gt;$D$8,"",D14*$D$7/12)</f>
        <v>3684.80609109775</v>
      </c>
      <c r="G14" s="39">
        <f>IF($B14&gt;$D$8,"",E14-F14)</f>
        <v>8757.71509586936</v>
      </c>
      <c r="H14" s="39">
        <f>IF($B14&gt;$D$8,"",D14-G14)</f>
        <v>482549.763717164</v>
      </c>
      <c r="J14" s="23" t="inlineStr">
        <is>
          <t>Year 5</t>
        </is>
      </c>
      <c r="K14" s="56">
        <f>(EDATE('Start here'!$C$21,60)-1)</f>
        <v>47848.0</v>
      </c>
      <c r="L14" s="24">
        <f>IF($D$9&gt;=EDATE('Start here'!$C$21,48),0,$D$6-SUMIFS($G$13:$G$132,$C$13:$C$132,"&lt;"&amp;EDATE('Start here'!$C$21,48)))</f>
        <v>36774.5711063848</v>
      </c>
      <c r="M14" s="24">
        <f>IF(AND($D$9&gt;=EDATE('Start here'!$C$21,48),$D$9&lt;=(EDATE('Start here'!$C$21,60)-1)),$D$6,0)</f>
        <v>0</v>
      </c>
      <c r="N14" s="24">
        <f>SUMIFS($F$13:$F$132,$C$13:$C$132,"&gt;="&amp;EDATE('Start here'!$C$21,48),$C$13:$C$132,"&lt;="&amp;(EDATE('Start here'!$C$21,60)-1))</f>
        <v>552.992454516517</v>
      </c>
    </row>
    <row r="15">
      <c r="B15" s="57" t="n">
        <v>3</v>
      </c>
      <c r="C15" s="58">
        <f>IF($B15&gt;$D$8,"",EDATE($D$9,$B15))</f>
        <v>46174.0</v>
      </c>
      <c r="D15" s="39">
        <f>IF($B15&gt;$D$8,"",H14)</f>
        <v>482549.763717164</v>
      </c>
      <c r="E15" s="39">
        <f>IF($B15&gt;$D$8,"",IF($B15=$D$8,D15+F15,$H$5))</f>
        <v>12442.5211869671</v>
      </c>
      <c r="F15" s="39">
        <f>IF($B15&gt;$D$8,"",D15*$D$7/12)</f>
        <v>3619.12322787873</v>
      </c>
      <c r="G15" s="39">
        <f>IF($B15&gt;$D$8,"",E15-F15)</f>
        <v>8823.39795908838</v>
      </c>
      <c r="H15" s="39">
        <f>IF($B15&gt;$D$8,"",D15-G15)</f>
        <v>473726.365758075</v>
      </c>
      <c r="J15" s="23" t="inlineStr">
        <is>
          <t>Year 6</t>
        </is>
      </c>
      <c r="K15" s="56">
        <f>(EDATE('Start here'!$C$21,72)-1)</f>
        <v>48213.0</v>
      </c>
      <c r="L15" s="24">
        <f>IF($D$9&gt;=EDATE('Start here'!$C$21,60),0,$D$6-SUMIFS($G$13:$G$132,$C$13:$C$132,"&lt;"&amp;EDATE('Start here'!$C$21,60)))</f>
        <v>0</v>
      </c>
      <c r="M15" s="24">
        <f>IF(AND($D$9&gt;=EDATE('Start here'!$C$21,60),$D$9&lt;=(EDATE('Start here'!$C$21,72)-1)),$D$6,0)</f>
        <v>0</v>
      </c>
      <c r="N15" s="24">
        <f>SUMIFS($F$13:$F$132,$C$13:$C$132,"&gt;="&amp;EDATE('Start here'!$C$21,60),$C$13:$C$132,"&lt;="&amp;(EDATE('Start here'!$C$21,72)-1))</f>
        <v>0</v>
      </c>
    </row>
    <row r="16">
      <c r="B16" s="57" t="n">
        <v>4</v>
      </c>
      <c r="C16" s="58">
        <f>IF($B16&gt;$D$8,"",EDATE($D$9,$B16))</f>
        <v>46204.0</v>
      </c>
      <c r="D16" s="39">
        <f>IF($B16&gt;$D$8,"",H15)</f>
        <v>473726.365758075</v>
      </c>
      <c r="E16" s="39">
        <f>IF($B16&gt;$D$8,"",IF($B16=$D$8,D16+F16,$H$5))</f>
        <v>12442.5211869671</v>
      </c>
      <c r="F16" s="39">
        <f>IF($B16&gt;$D$8,"",D16*$D$7/12)</f>
        <v>3552.94774318556</v>
      </c>
      <c r="G16" s="39">
        <f>IF($B16&gt;$D$8,"",E16-F16)</f>
        <v>8889.57344378154</v>
      </c>
      <c r="H16" s="39">
        <f>IF($B16&gt;$D$8,"",D16-G16)</f>
        <v>464836.792314294</v>
      </c>
      <c r="J16" s="23" t="inlineStr">
        <is>
          <t>Year 7</t>
        </is>
      </c>
      <c r="K16" s="56">
        <f>(EDATE('Start here'!$C$21,84)-1)</f>
        <v>48579.0</v>
      </c>
      <c r="L16" s="24">
        <f>IF($D$9&gt;=EDATE('Start here'!$C$21,72),0,$D$6-SUMIFS($G$13:$G$132,$C$13:$C$132,"&lt;"&amp;EDATE('Start here'!$C$21,72)))</f>
        <v>0</v>
      </c>
      <c r="M16" s="24">
        <f>IF(AND($D$9&gt;=EDATE('Start here'!$C$21,72),$D$9&lt;=(EDATE('Start here'!$C$21,84)-1)),$D$6,0)</f>
        <v>0</v>
      </c>
      <c r="N16" s="24">
        <f>SUMIFS($F$13:$F$132,$C$13:$C$132,"&gt;="&amp;EDATE('Start here'!$C$21,72),$C$13:$C$132,"&lt;="&amp;(EDATE('Start here'!$C$21,84)-1))</f>
        <v>0</v>
      </c>
    </row>
    <row r="17">
      <c r="B17" s="57" t="n">
        <v>5</v>
      </c>
      <c r="C17" s="58">
        <f>IF($B17&gt;$D$8,"",EDATE($D$9,$B17))</f>
        <v>46235.0</v>
      </c>
      <c r="D17" s="39">
        <f>IF($B17&gt;$D$8,"",H16)</f>
        <v>464836.792314294</v>
      </c>
      <c r="E17" s="39">
        <f>IF($B17&gt;$D$8,"",IF($B17=$D$8,D17+F17,$H$5))</f>
        <v>12442.5211869671</v>
      </c>
      <c r="F17" s="39">
        <f>IF($B17&gt;$D$8,"",D17*$D$7/12)</f>
        <v>3486.2759423572</v>
      </c>
      <c r="G17" s="39">
        <f>IF($B17&gt;$D$8,"",E17-F17)</f>
        <v>8956.2452446099</v>
      </c>
      <c r="H17" s="39">
        <f>IF($B17&gt;$D$8,"",D17-G17)</f>
        <v>455880.547069684</v>
      </c>
      <c r="J17" s="23" t="inlineStr">
        <is>
          <t>Year 8</t>
        </is>
      </c>
      <c r="K17" s="56">
        <f>(EDATE('Start here'!$C$21,96)-1)</f>
        <v>48944.0</v>
      </c>
      <c r="L17" s="24">
        <f>IF($D$9&gt;=EDATE('Start here'!$C$21,84),0,$D$6-SUMIFS($G$13:$G$132,$C$13:$C$132,"&lt;"&amp;EDATE('Start here'!$C$21,84)))</f>
        <v>0</v>
      </c>
      <c r="M17" s="24">
        <f>IF(AND($D$9&gt;=EDATE('Start here'!$C$21,84),$D$9&lt;=(EDATE('Start here'!$C$21,96)-1)),$D$6,0)</f>
        <v>0</v>
      </c>
      <c r="N17" s="24">
        <f>SUMIFS($F$13:$F$132,$C$13:$C$132,"&gt;="&amp;EDATE('Start here'!$C$21,84),$C$13:$C$132,"&lt;="&amp;(EDATE('Start here'!$C$21,96)-1))</f>
        <v>0</v>
      </c>
    </row>
    <row r="18">
      <c r="B18" s="57" t="n">
        <v>6</v>
      </c>
      <c r="C18" s="58">
        <f>IF($B18&gt;$D$8,"",EDATE($D$9,$B18))</f>
        <v>46266.0</v>
      </c>
      <c r="D18" s="39">
        <f>IF($B18&gt;$D$8,"",H17)</f>
        <v>455880.547069684</v>
      </c>
      <c r="E18" s="39">
        <f>IF($B18&gt;$D$8,"",IF($B18=$D$8,D18+F18,$H$5))</f>
        <v>12442.5211869671</v>
      </c>
      <c r="F18" s="39">
        <f>IF($B18&gt;$D$8,"",D18*$D$7/12)</f>
        <v>3419.10410302263</v>
      </c>
      <c r="G18" s="39">
        <f>IF($B18&gt;$D$8,"",E18-F18)</f>
        <v>9023.41708394448</v>
      </c>
      <c r="H18" s="39">
        <f>IF($B18&gt;$D$8,"",D18-G18)</f>
        <v>446857.129985739</v>
      </c>
      <c r="J18" s="23" t="inlineStr">
        <is>
          <t>Year 9</t>
        </is>
      </c>
      <c r="K18" s="56">
        <f>(EDATE('Start here'!$C$21,108)-1)</f>
        <v>49309.0</v>
      </c>
      <c r="L18" s="24">
        <f>IF($D$9&gt;=EDATE('Start here'!$C$21,96),0,$D$6-SUMIFS($G$13:$G$132,$C$13:$C$132,"&lt;"&amp;EDATE('Start here'!$C$21,96)))</f>
        <v>0</v>
      </c>
      <c r="M18" s="24">
        <f>IF(AND($D$9&gt;=EDATE('Start here'!$C$21,96),$D$9&lt;=(EDATE('Start here'!$C$21,108)-1)),$D$6,0)</f>
        <v>0</v>
      </c>
      <c r="N18" s="24">
        <f>SUMIFS($F$13:$F$132,$C$13:$C$132,"&gt;="&amp;EDATE('Start here'!$C$21,96),$C$13:$C$132,"&lt;="&amp;(EDATE('Start here'!$C$21,108)-1))</f>
        <v>0</v>
      </c>
    </row>
    <row r="19">
      <c r="B19" s="57" t="n">
        <v>7</v>
      </c>
      <c r="C19" s="58">
        <f>IF($B19&gt;$D$8,"",EDATE($D$9,$B19))</f>
        <v>46296.0</v>
      </c>
      <c r="D19" s="39">
        <f>IF($B19&gt;$D$8,"",H18)</f>
        <v>446857.129985739</v>
      </c>
      <c r="E19" s="39">
        <f>IF($B19&gt;$D$8,"",IF($B19=$D$8,D19+F19,$H$5))</f>
        <v>12442.5211869671</v>
      </c>
      <c r="F19" s="39">
        <f>IF($B19&gt;$D$8,"",D19*$D$7/12)</f>
        <v>3351.42847489304</v>
      </c>
      <c r="G19" s="39">
        <f>IF($B19&gt;$D$8,"",E19-F19)</f>
        <v>9091.09271207406</v>
      </c>
      <c r="H19" s="39">
        <f>IF($B19&gt;$D$8,"",D19-G19)</f>
        <v>437766.037273665</v>
      </c>
      <c r="J19" s="23" t="inlineStr">
        <is>
          <t>Year 10</t>
        </is>
      </c>
      <c r="K19" s="56">
        <f>(EDATE('Start here'!$C$21,120)-1)</f>
        <v>49674.0</v>
      </c>
      <c r="L19" s="24">
        <f>IF($D$9&gt;=EDATE('Start here'!$C$21,108),0,$D$6-SUMIFS($G$13:$G$132,$C$13:$C$132,"&lt;"&amp;EDATE('Start here'!$C$21,108)))</f>
        <v>0</v>
      </c>
      <c r="M19" s="24">
        <f>IF(AND($D$9&gt;=EDATE('Start here'!$C$21,108),$D$9&lt;=(EDATE('Start here'!$C$21,120)-1)),$D$6,0)</f>
        <v>0</v>
      </c>
      <c r="N19" s="24">
        <f>SUMIFS($F$13:$F$132,$C$13:$C$132,"&gt;="&amp;EDATE('Start here'!$C$21,108),$C$13:$C$132,"&lt;="&amp;(EDATE('Start here'!$C$21,120)-1))</f>
        <v>0</v>
      </c>
    </row>
    <row r="20">
      <c r="B20" s="57" t="n">
        <v>8</v>
      </c>
      <c r="C20" s="58">
        <f>IF($B20&gt;$D$8,"",EDATE($D$9,$B20))</f>
        <v>46327.0</v>
      </c>
      <c r="D20" s="39">
        <f>IF($B20&gt;$D$8,"",H19)</f>
        <v>437766.037273665</v>
      </c>
      <c r="E20" s="39">
        <f>IF($B20&gt;$D$8,"",IF($B20=$D$8,D20+F20,$H$5))</f>
        <v>12442.5211869671</v>
      </c>
      <c r="F20" s="39">
        <f>IF($B20&gt;$D$8,"",D20*$D$7/12)</f>
        <v>3283.24527955249</v>
      </c>
      <c r="G20" s="39">
        <f>IF($B20&gt;$D$8,"",E20-F20)</f>
        <v>9159.27590741461</v>
      </c>
      <c r="H20" s="39">
        <f>IF($B20&gt;$D$8,"",D20-G20)</f>
        <v>428606.761366251</v>
      </c>
      <c r="J20" s="25" t="inlineStr">
        <is>
          <t>Total</t>
        </is>
      </c>
      <c r="K20" s="25" t="n"/>
      <c r="L20" s="25" t="n"/>
      <c r="M20" s="26">
        <f>SUM(M10:M19)</f>
        <v>500000</v>
      </c>
      <c r="N20" s="26">
        <f>SUM(N10:N19)</f>
        <v>97241.016974421</v>
      </c>
    </row>
    <row r="21">
      <c r="B21" s="57" t="n">
        <v>9</v>
      </c>
      <c r="C21" s="58">
        <f>IF($B21&gt;$D$8,"",EDATE($D$9,$B21))</f>
        <v>46357.0</v>
      </c>
      <c r="D21" s="39">
        <f>IF($B21&gt;$D$8,"",H20)</f>
        <v>428606.761366251</v>
      </c>
      <c r="E21" s="39">
        <f>IF($B21&gt;$D$8,"",IF($B21=$D$8,D21+F21,$H$5))</f>
        <v>12442.5211869671</v>
      </c>
      <c r="F21" s="39">
        <f>IF($B21&gt;$D$8,"",D21*$D$7/12)</f>
        <v>3214.55071024688</v>
      </c>
      <c r="G21" s="39">
        <f>IF($B21&gt;$D$8,"",E21-F21)</f>
        <v>9227.97047672022</v>
      </c>
      <c r="H21" s="39">
        <f>IF($B21&gt;$D$8,"",D21-G21)</f>
        <v>419378.79088953</v>
      </c>
    </row>
    <row r="22" ht="30" customHeight="1">
      <c r="B22" s="57" t="n">
        <v>10</v>
      </c>
      <c r="C22" s="58">
        <f>IF($B22&gt;$D$8,"",EDATE($D$9,$B22))</f>
        <v>46388.0</v>
      </c>
      <c r="D22" s="39">
        <f>IF($B22&gt;$D$8,"",H21)</f>
        <v>419378.79088953</v>
      </c>
      <c r="E22" s="39">
        <f>IF($B22&gt;$D$8,"",IF($B22=$D$8,D22+F22,$H$5))</f>
        <v>12442.5211869671</v>
      </c>
      <c r="F22" s="39">
        <f>IF($B22&gt;$D$8,"",D22*$D$7/12)</f>
        <v>3145.34093167148</v>
      </c>
      <c r="G22" s="39">
        <f>IF($B22&gt;$D$8,"",E22-F22)</f>
        <v>9297.18025529563</v>
      </c>
      <c r="H22" s="39">
        <f>IF($B22&gt;$D$8,"",D22-G22)</f>
        <v>410081.610634235</v>
      </c>
      <c r="J22" s="21" t="inlineStr">
        <is>
          <t>Year</t>
        </is>
      </c>
      <c r="K22" s="21" t="inlineStr">
        <is>
          <t>Principal repaid</t>
        </is>
      </c>
      <c r="L22" s="21" t="inlineStr">
        <is>
          <t>Closing balance</t>
        </is>
      </c>
      <c r="M22" s="21" t="inlineStr">
        <is>
          <t>Due within 12 months</t>
        </is>
      </c>
      <c r="N22" s="21" t="inlineStr">
        <is>
          <t>Total payments</t>
        </is>
      </c>
    </row>
    <row r="23">
      <c r="B23" s="57" t="n">
        <v>11</v>
      </c>
      <c r="C23" s="58">
        <f>IF($B23&gt;$D$8,"",EDATE($D$9,$B23))</f>
        <v>46419.0</v>
      </c>
      <c r="D23" s="39">
        <f>IF($B23&gt;$D$8,"",H22)</f>
        <v>410081.610634235</v>
      </c>
      <c r="E23" s="39">
        <f>IF($B23&gt;$D$8,"",IF($B23=$D$8,D23+F23,$H$5))</f>
        <v>12442.5211869671</v>
      </c>
      <c r="F23" s="39">
        <f>IF($B23&gt;$D$8,"",D23*$D$7/12)</f>
        <v>3075.61207975676</v>
      </c>
      <c r="G23" s="39">
        <f>IF($B23&gt;$D$8,"",E23-F23)</f>
        <v>9366.90910721034</v>
      </c>
      <c r="H23" s="39">
        <f>IF($B23&gt;$D$8,"",D23-G23)</f>
        <v>400714.701527024</v>
      </c>
      <c r="J23" s="23" t="inlineStr">
        <is>
          <t>Year 1</t>
        </is>
      </c>
      <c r="K23" s="24">
        <f>SUMIFS($G$13:$G$132,$C$13:$C$132,"&gt;="&amp;EDATE('Start here'!$C$21,0),$C$13:$C$132,"&lt;="&amp;(EDATE('Start here'!$C$21,12)-1))</f>
        <v>80621.2091104697</v>
      </c>
      <c r="L23" s="24">
        <f>L10+M10-K23</f>
        <v>419378.79088953</v>
      </c>
      <c r="M23" s="24">
        <f>SUMIFS($G$13:$G$132,$C$13:$C$132,"&gt;"&amp;(EDATE('Start here'!$C$21,12)-1),$C$13:$C$132,"&lt;="&amp;(EDATE('Start here'!$C$21,24)-1))</f>
        <v>116285.284911627</v>
      </c>
      <c r="N23" s="24">
        <f>SUMIFS($E$13:$E$132,$C$13:$C$132,"&gt;="&amp;EDATE('Start here'!$C$21,0),$C$13:$C$132,"&lt;="&amp;(EDATE('Start here'!$C$21,12)-1))</f>
        <v>111982.690682704</v>
      </c>
    </row>
    <row r="24">
      <c r="B24" s="57" t="n">
        <v>12</v>
      </c>
      <c r="C24" s="58">
        <f>IF($B24&gt;$D$8,"",EDATE($D$9,$B24))</f>
        <v>46447.0</v>
      </c>
      <c r="D24" s="39">
        <f>IF($B24&gt;$D$8,"",H23)</f>
        <v>400714.701527024</v>
      </c>
      <c r="E24" s="39">
        <f>IF($B24&gt;$D$8,"",IF($B24=$D$8,D24+F24,$H$5))</f>
        <v>12442.5211869671</v>
      </c>
      <c r="F24" s="39">
        <f>IF($B24&gt;$D$8,"",D24*$D$7/12)</f>
        <v>3005.36026145268</v>
      </c>
      <c r="G24" s="39">
        <f>IF($B24&gt;$D$8,"",E24-F24)</f>
        <v>9437.16092551442</v>
      </c>
      <c r="H24" s="39">
        <f>IF($B24&gt;$D$8,"",D24-G24)</f>
        <v>391277.54060151</v>
      </c>
      <c r="J24" s="23" t="inlineStr">
        <is>
          <t>Year 2</t>
        </is>
      </c>
      <c r="K24" s="24">
        <f>SUMIFS($G$13:$G$132,$C$13:$C$132,"&gt;="&amp;EDATE('Start here'!$C$21,12),$C$13:$C$132,"&lt;="&amp;(EDATE('Start here'!$C$21,24)-1))</f>
        <v>116285.284911627</v>
      </c>
      <c r="L24" s="24">
        <f>L11+M11-K24</f>
        <v>303093.505977904</v>
      </c>
      <c r="M24" s="24">
        <f>SUMIFS($G$13:$G$132,$C$13:$C$132,"&gt;"&amp;(EDATE('Start here'!$C$21,24)-1),$C$13:$C$132,"&lt;="&amp;(EDATE('Start here'!$C$21,36)-1))</f>
        <v>127193.646733973</v>
      </c>
      <c r="N24" s="24">
        <f>SUMIFS($E$13:$E$132,$C$13:$C$132,"&gt;="&amp;EDATE('Start here'!$C$21,12),$C$13:$C$132,"&lt;="&amp;(EDATE('Start here'!$C$21,24)-1))</f>
        <v>149310.254243605</v>
      </c>
    </row>
    <row r="25">
      <c r="B25" s="57" t="n">
        <v>13</v>
      </c>
      <c r="C25" s="58">
        <f>IF($B25&gt;$D$8,"",EDATE($D$9,$B25))</f>
        <v>46478.0</v>
      </c>
      <c r="D25" s="39">
        <f>IF($B25&gt;$D$8,"",H24)</f>
        <v>391277.54060151</v>
      </c>
      <c r="E25" s="39">
        <f>IF($B25&gt;$D$8,"",IF($B25=$D$8,D25+F25,$H$5))</f>
        <v>12442.5211869671</v>
      </c>
      <c r="F25" s="39">
        <f>IF($B25&gt;$D$8,"",D25*$D$7/12)</f>
        <v>2934.58155451132</v>
      </c>
      <c r="G25" s="39">
        <f>IF($B25&gt;$D$8,"",E25-F25)</f>
        <v>9507.93963245578</v>
      </c>
      <c r="H25" s="39">
        <f>IF($B25&gt;$D$8,"",D25-G25)</f>
        <v>381769.600969054</v>
      </c>
      <c r="J25" s="23" t="inlineStr">
        <is>
          <t>Year 3</t>
        </is>
      </c>
      <c r="K25" s="24">
        <f>SUMIFS($G$13:$G$132,$C$13:$C$132,"&gt;="&amp;EDATE('Start here'!$C$21,24),$C$13:$C$132,"&lt;="&amp;(EDATE('Start here'!$C$21,36)-1))</f>
        <v>127193.646733973</v>
      </c>
      <c r="L25" s="24">
        <f>L12+M12-K25</f>
        <v>175899.859243931</v>
      </c>
      <c r="M25" s="24">
        <f>SUMIFS($G$13:$G$132,$C$13:$C$132,"&gt;"&amp;(EDATE('Start here'!$C$21,36)-1),$C$13:$C$132,"&lt;="&amp;(EDATE('Start here'!$C$21,48)-1))</f>
        <v>139125.288137546</v>
      </c>
      <c r="N25" s="24">
        <f>SUMIFS($E$13:$E$132,$C$13:$C$132,"&gt;="&amp;EDATE('Start here'!$C$21,24),$C$13:$C$132,"&lt;="&amp;(EDATE('Start here'!$C$21,36)-1))</f>
        <v>149310.254243605</v>
      </c>
    </row>
    <row r="26">
      <c r="B26" s="57" t="n">
        <v>14</v>
      </c>
      <c r="C26" s="58">
        <f>IF($B26&gt;$D$8,"",EDATE($D$9,$B26))</f>
        <v>46508.0</v>
      </c>
      <c r="D26" s="39">
        <f>IF($B26&gt;$D$8,"",H25)</f>
        <v>381769.600969054</v>
      </c>
      <c r="E26" s="39">
        <f>IF($B26&gt;$D$8,"",IF($B26=$D$8,D26+F26,$H$5))</f>
        <v>12442.5211869671</v>
      </c>
      <c r="F26" s="39">
        <f>IF($B26&gt;$D$8,"",D26*$D$7/12)</f>
        <v>2863.27200726791</v>
      </c>
      <c r="G26" s="39">
        <f>IF($B26&gt;$D$8,"",E26-F26)</f>
        <v>9579.2491796992</v>
      </c>
      <c r="H26" s="39">
        <f>IF($B26&gt;$D$8,"",D26-G26)</f>
        <v>372190.351789355</v>
      </c>
      <c r="J26" s="23" t="inlineStr">
        <is>
          <t>Year 4</t>
        </is>
      </c>
      <c r="K26" s="24">
        <f>SUMIFS($G$13:$G$132,$C$13:$C$132,"&gt;="&amp;EDATE('Start here'!$C$21,36),$C$13:$C$132,"&lt;="&amp;(EDATE('Start here'!$C$21,48)-1))</f>
        <v>139125.288137546</v>
      </c>
      <c r="L26" s="24">
        <f>L13+M13-K26</f>
        <v>36774.5711063848</v>
      </c>
      <c r="M26" s="24">
        <f>SUMIFS($G$13:$G$132,$C$13:$C$132,"&gt;"&amp;(EDATE('Start here'!$C$21,48)-1),$C$13:$C$132,"&lt;="&amp;(EDATE('Start here'!$C$21,60)-1))</f>
        <v>36774.5711063847</v>
      </c>
      <c r="N26" s="24">
        <f>SUMIFS($E$13:$E$132,$C$13:$C$132,"&gt;="&amp;EDATE('Start here'!$C$21,36),$C$13:$C$132,"&lt;="&amp;(EDATE('Start here'!$C$21,48)-1))</f>
        <v>149310.254243605</v>
      </c>
    </row>
    <row r="27">
      <c r="B27" s="57" t="n">
        <v>15</v>
      </c>
      <c r="C27" s="58">
        <f>IF($B27&gt;$D$8,"",EDATE($D$9,$B27))</f>
        <v>46539.0</v>
      </c>
      <c r="D27" s="39">
        <f>IF($B27&gt;$D$8,"",H26)</f>
        <v>372190.351789355</v>
      </c>
      <c r="E27" s="39">
        <f>IF($B27&gt;$D$8,"",IF($B27=$D$8,D27+F27,$H$5))</f>
        <v>12442.5211869671</v>
      </c>
      <c r="F27" s="39">
        <f>IF($B27&gt;$D$8,"",D27*$D$7/12)</f>
        <v>2791.42763842016</v>
      </c>
      <c r="G27" s="39">
        <f>IF($B27&gt;$D$8,"",E27-F27)</f>
        <v>9651.09354854694</v>
      </c>
      <c r="H27" s="39">
        <f>IF($B27&gt;$D$8,"",D27-G27)</f>
        <v>362539.258240808</v>
      </c>
      <c r="J27" s="23" t="inlineStr">
        <is>
          <t>Year 5</t>
        </is>
      </c>
      <c r="K27" s="24">
        <f>SUMIFS($G$13:$G$132,$C$13:$C$132,"&gt;="&amp;EDATE('Start here'!$C$21,48),$C$13:$C$132,"&lt;="&amp;(EDATE('Start here'!$C$21,60)-1))</f>
        <v>36774.5711063847</v>
      </c>
      <c r="L27" s="24">
        <f>L14+M14-K27</f>
        <v>0</v>
      </c>
      <c r="M27" s="24">
        <f>SUMIFS($G$13:$G$132,$C$13:$C$132,"&gt;"&amp;(EDATE('Start here'!$C$21,60)-1),$C$13:$C$132,"&lt;="&amp;(EDATE('Start here'!$C$21,72)-1))</f>
        <v>0</v>
      </c>
      <c r="N27" s="24">
        <f>SUMIFS($E$13:$E$132,$C$13:$C$132,"&gt;="&amp;EDATE('Start here'!$C$21,48),$C$13:$C$132,"&lt;="&amp;(EDATE('Start here'!$C$21,60)-1))</f>
        <v>37327.5635609012</v>
      </c>
    </row>
    <row r="28">
      <c r="B28" s="57" t="n">
        <v>16</v>
      </c>
      <c r="C28" s="58">
        <f>IF($B28&gt;$D$8,"",EDATE($D$9,$B28))</f>
        <v>46569.0</v>
      </c>
      <c r="D28" s="39">
        <f>IF($B28&gt;$D$8,"",H27)</f>
        <v>362539.258240808</v>
      </c>
      <c r="E28" s="39">
        <f>IF($B28&gt;$D$8,"",IF($B28=$D$8,D28+F28,$H$5))</f>
        <v>12442.5211869671</v>
      </c>
      <c r="F28" s="39">
        <f>IF($B28&gt;$D$8,"",D28*$D$7/12)</f>
        <v>2719.04443680606</v>
      </c>
      <c r="G28" s="39">
        <f>IF($B28&gt;$D$8,"",E28-F28)</f>
        <v>9723.47675016104</v>
      </c>
      <c r="H28" s="39">
        <f>IF($B28&gt;$D$8,"",D28-G28)</f>
        <v>352815.781490647</v>
      </c>
      <c r="J28" s="23" t="inlineStr">
        <is>
          <t>Year 6</t>
        </is>
      </c>
      <c r="K28" s="24">
        <f>SUMIFS($G$13:$G$132,$C$13:$C$132,"&gt;="&amp;EDATE('Start here'!$C$21,60),$C$13:$C$132,"&lt;="&amp;(EDATE('Start here'!$C$21,72)-1))</f>
        <v>0</v>
      </c>
      <c r="L28" s="24">
        <f>L15+M15-K28</f>
        <v>0</v>
      </c>
      <c r="M28" s="24">
        <f>SUMIFS($G$13:$G$132,$C$13:$C$132,"&gt;"&amp;(EDATE('Start here'!$C$21,72)-1),$C$13:$C$132,"&lt;="&amp;(EDATE('Start here'!$C$21,84)-1))</f>
        <v>0</v>
      </c>
      <c r="N28" s="24">
        <f>SUMIFS($E$13:$E$132,$C$13:$C$132,"&gt;="&amp;EDATE('Start here'!$C$21,60),$C$13:$C$132,"&lt;="&amp;(EDATE('Start here'!$C$21,72)-1))</f>
        <v>0</v>
      </c>
    </row>
    <row r="29">
      <c r="B29" s="57" t="n">
        <v>17</v>
      </c>
      <c r="C29" s="58">
        <f>IF($B29&gt;$D$8,"",EDATE($D$9,$B29))</f>
        <v>46600.0</v>
      </c>
      <c r="D29" s="39">
        <f>IF($B29&gt;$D$8,"",H28)</f>
        <v>352815.781490647</v>
      </c>
      <c r="E29" s="39">
        <f>IF($B29&gt;$D$8,"",IF($B29=$D$8,D29+F29,$H$5))</f>
        <v>12442.5211869671</v>
      </c>
      <c r="F29" s="39">
        <f>IF($B29&gt;$D$8,"",D29*$D$7/12)</f>
        <v>2646.11836117985</v>
      </c>
      <c r="G29" s="39">
        <f>IF($B29&gt;$D$8,"",E29-F29)</f>
        <v>9796.40282578725</v>
      </c>
      <c r="H29" s="39">
        <f>IF($B29&gt;$D$8,"",D29-G29)</f>
        <v>343019.37866486</v>
      </c>
      <c r="J29" s="23" t="inlineStr">
        <is>
          <t>Year 7</t>
        </is>
      </c>
      <c r="K29" s="24">
        <f>SUMIFS($G$13:$G$132,$C$13:$C$132,"&gt;="&amp;EDATE('Start here'!$C$21,72),$C$13:$C$132,"&lt;="&amp;(EDATE('Start here'!$C$21,84)-1))</f>
        <v>0</v>
      </c>
      <c r="L29" s="24">
        <f>L16+M16-K29</f>
        <v>0</v>
      </c>
      <c r="M29" s="24">
        <f>SUMIFS($G$13:$G$132,$C$13:$C$132,"&gt;"&amp;(EDATE('Start here'!$C$21,84)-1),$C$13:$C$132,"&lt;="&amp;(EDATE('Start here'!$C$21,96)-1))</f>
        <v>0</v>
      </c>
      <c r="N29" s="24">
        <f>SUMIFS($E$13:$E$132,$C$13:$C$132,"&gt;="&amp;EDATE('Start here'!$C$21,72),$C$13:$C$132,"&lt;="&amp;(EDATE('Start here'!$C$21,84)-1))</f>
        <v>0</v>
      </c>
    </row>
    <row r="30">
      <c r="B30" s="57" t="n">
        <v>18</v>
      </c>
      <c r="C30" s="58">
        <f>IF($B30&gt;$D$8,"",EDATE($D$9,$B30))</f>
        <v>46631.0</v>
      </c>
      <c r="D30" s="39">
        <f>IF($B30&gt;$D$8,"",H29)</f>
        <v>343019.37866486</v>
      </c>
      <c r="E30" s="39">
        <f>IF($B30&gt;$D$8,"",IF($B30=$D$8,D30+F30,$H$5))</f>
        <v>12442.5211869671</v>
      </c>
      <c r="F30" s="39">
        <f>IF($B30&gt;$D$8,"",D30*$D$7/12)</f>
        <v>2572.64533998645</v>
      </c>
      <c r="G30" s="39">
        <f>IF($B30&gt;$D$8,"",E30-F30)</f>
        <v>9869.87584698066</v>
      </c>
      <c r="H30" s="39">
        <f>IF($B30&gt;$D$8,"",D30-G30)</f>
        <v>333149.502817879</v>
      </c>
      <c r="J30" s="23" t="inlineStr">
        <is>
          <t>Year 8</t>
        </is>
      </c>
      <c r="K30" s="24">
        <f>SUMIFS($G$13:$G$132,$C$13:$C$132,"&gt;="&amp;EDATE('Start here'!$C$21,84),$C$13:$C$132,"&lt;="&amp;(EDATE('Start here'!$C$21,96)-1))</f>
        <v>0</v>
      </c>
      <c r="L30" s="24">
        <f>L17+M17-K30</f>
        <v>0</v>
      </c>
      <c r="M30" s="24">
        <f>SUMIFS($G$13:$G$132,$C$13:$C$132,"&gt;"&amp;(EDATE('Start here'!$C$21,96)-1),$C$13:$C$132,"&lt;="&amp;(EDATE('Start here'!$C$21,108)-1))</f>
        <v>0</v>
      </c>
      <c r="N30" s="24">
        <f>SUMIFS($E$13:$E$132,$C$13:$C$132,"&gt;="&amp;EDATE('Start here'!$C$21,84),$C$13:$C$132,"&lt;="&amp;(EDATE('Start here'!$C$21,96)-1))</f>
        <v>0</v>
      </c>
    </row>
    <row r="31">
      <c r="B31" s="57" t="n">
        <v>19</v>
      </c>
      <c r="C31" s="58">
        <f>IF($B31&gt;$D$8,"",EDATE($D$9,$B31))</f>
        <v>46661.0</v>
      </c>
      <c r="D31" s="39">
        <f>IF($B31&gt;$D$8,"",H30)</f>
        <v>333149.502817879</v>
      </c>
      <c r="E31" s="39">
        <f>IF($B31&gt;$D$8,"",IF($B31=$D$8,D31+F31,$H$5))</f>
        <v>12442.5211869671</v>
      </c>
      <c r="F31" s="39">
        <f>IF($B31&gt;$D$8,"",D31*$D$7/12)</f>
        <v>2498.62127113409</v>
      </c>
      <c r="G31" s="39">
        <f>IF($B31&gt;$D$8,"",E31-F31)</f>
        <v>9943.89991583301</v>
      </c>
      <c r="H31" s="39">
        <f>IF($B31&gt;$D$8,"",D31-G31)</f>
        <v>323205.602902046</v>
      </c>
      <c r="J31" s="23" t="inlineStr">
        <is>
          <t>Year 9</t>
        </is>
      </c>
      <c r="K31" s="24">
        <f>SUMIFS($G$13:$G$132,$C$13:$C$132,"&gt;="&amp;EDATE('Start here'!$C$21,96),$C$13:$C$132,"&lt;="&amp;(EDATE('Start here'!$C$21,108)-1))</f>
        <v>0</v>
      </c>
      <c r="L31" s="24">
        <f>L18+M18-K31</f>
        <v>0</v>
      </c>
      <c r="M31" s="24">
        <f>SUMIFS($G$13:$G$132,$C$13:$C$132,"&gt;"&amp;(EDATE('Start here'!$C$21,108)-1),$C$13:$C$132,"&lt;="&amp;(EDATE('Start here'!$C$21,120)-1))</f>
        <v>0</v>
      </c>
      <c r="N31" s="24">
        <f>SUMIFS($E$13:$E$132,$C$13:$C$132,"&gt;="&amp;EDATE('Start here'!$C$21,96),$C$13:$C$132,"&lt;="&amp;(EDATE('Start here'!$C$21,108)-1))</f>
        <v>0</v>
      </c>
    </row>
    <row r="32">
      <c r="B32" s="57" t="n">
        <v>20</v>
      </c>
      <c r="C32" s="58">
        <f>IF($B32&gt;$D$8,"",EDATE($D$9,$B32))</f>
        <v>46692.0</v>
      </c>
      <c r="D32" s="39">
        <f>IF($B32&gt;$D$8,"",H31)</f>
        <v>323205.602902046</v>
      </c>
      <c r="E32" s="39">
        <f>IF($B32&gt;$D$8,"",IF($B32=$D$8,D32+F32,$H$5))</f>
        <v>12442.5211869671</v>
      </c>
      <c r="F32" s="39">
        <f>IF($B32&gt;$D$8,"",D32*$D$7/12)</f>
        <v>2424.04202176535</v>
      </c>
      <c r="G32" s="39">
        <f>IF($B32&gt;$D$8,"",E32-F32)</f>
        <v>10018.4791652018</v>
      </c>
      <c r="H32" s="39">
        <f>IF($B32&gt;$D$8,"",D32-G32)</f>
        <v>313187.123736844</v>
      </c>
      <c r="J32" s="23" t="inlineStr">
        <is>
          <t>Year 10</t>
        </is>
      </c>
      <c r="K32" s="24">
        <f>SUMIFS($G$13:$G$132,$C$13:$C$132,"&gt;="&amp;EDATE('Start here'!$C$21,108),$C$13:$C$132,"&lt;="&amp;(EDATE('Start here'!$C$21,120)-1))</f>
        <v>0</v>
      </c>
      <c r="L32" s="24">
        <f>L19+M19-K32</f>
        <v>0</v>
      </c>
      <c r="M32" s="24">
        <f>SUMIFS($G$13:$G$132,$C$13:$C$132,"&gt;"&amp;(EDATE('Start here'!$C$21,120)-1),$C$13:$C$132,"&lt;="&amp;(EDATE('Start here'!$C$21,132)-1))</f>
        <v>0</v>
      </c>
      <c r="N32" s="24">
        <f>SUMIFS($E$13:$E$132,$C$13:$C$132,"&gt;="&amp;EDATE('Start here'!$C$21,108),$C$13:$C$132,"&lt;="&amp;(EDATE('Start here'!$C$21,120)-1))</f>
        <v>0</v>
      </c>
    </row>
    <row r="33">
      <c r="B33" s="57" t="n">
        <v>21</v>
      </c>
      <c r="C33" s="58">
        <f>IF($B33&gt;$D$8,"",EDATE($D$9,$B33))</f>
        <v>46722.0</v>
      </c>
      <c r="D33" s="39">
        <f>IF($B33&gt;$D$8,"",H32)</f>
        <v>313187.123736844</v>
      </c>
      <c r="E33" s="39">
        <f>IF($B33&gt;$D$8,"",IF($B33=$D$8,D33+F33,$H$5))</f>
        <v>12442.5211869671</v>
      </c>
      <c r="F33" s="39">
        <f>IF($B33&gt;$D$8,"",D33*$D$7/12)</f>
        <v>2348.90342802633</v>
      </c>
      <c r="G33" s="39">
        <f>IF($B33&gt;$D$8,"",E33-F33)</f>
        <v>10093.6177589408</v>
      </c>
      <c r="H33" s="39">
        <f>IF($B33&gt;$D$8,"",D33-G33)</f>
        <v>303093.505977903</v>
      </c>
      <c r="J33" s="25" t="inlineStr">
        <is>
          <t>Total</t>
        </is>
      </c>
      <c r="K33" s="26">
        <f>SUM(K23:K32)</f>
        <v>500000</v>
      </c>
      <c r="L33" s="25" t="n"/>
      <c r="M33" s="25" t="n"/>
      <c r="N33" s="26">
        <f>SUM(N23:N32)</f>
        <v>597241.016974421</v>
      </c>
    </row>
    <row r="34">
      <c r="B34" s="57" t="n">
        <v>22</v>
      </c>
      <c r="C34" s="58">
        <f>IF($B34&gt;$D$8,"",EDATE($D$9,$B34))</f>
        <v>46753.0</v>
      </c>
      <c r="D34" s="39">
        <f>IF($B34&gt;$D$8,"",H33)</f>
        <v>303093.505977903</v>
      </c>
      <c r="E34" s="39">
        <f>IF($B34&gt;$D$8,"",IF($B34=$D$8,D34+F34,$H$5))</f>
        <v>12442.5211869671</v>
      </c>
      <c r="F34" s="39">
        <f>IF($B34&gt;$D$8,"",D34*$D$7/12)</f>
        <v>2273.20129483428</v>
      </c>
      <c r="G34" s="39">
        <f>IF($B34&gt;$D$8,"",E34-F34)</f>
        <v>10169.3198921328</v>
      </c>
      <c r="H34" s="39">
        <f>IF($B34&gt;$D$8,"",D34-G34)</f>
        <v>292924.186085771</v>
      </c>
      <c r="J34" s="19" t="inlineStr">
        <is>
          <t>Check: annual totals = schedule totals</t>
        </is>
      </c>
      <c r="N34" s="59" t="str">
        <f>IF(AND(ROUND(N20-F133,2)=0,ROUND(K33-G133,2)=0),"OK","CHECK: payments outside Years 1-10")</f>
        <v>OK</v>
      </c>
    </row>
    <row r="35">
      <c r="B35" s="57" t="n">
        <v>23</v>
      </c>
      <c r="C35" s="58">
        <f>IF($B35&gt;$D$8,"",EDATE($D$9,$B35))</f>
        <v>46784.0</v>
      </c>
      <c r="D35" s="39">
        <f>IF($B35&gt;$D$8,"",H34)</f>
        <v>292924.186085771</v>
      </c>
      <c r="E35" s="39">
        <f>IF($B35&gt;$D$8,"",IF($B35=$D$8,D35+F35,$H$5))</f>
        <v>12442.5211869671</v>
      </c>
      <c r="F35" s="39">
        <f>IF($B35&gt;$D$8,"",D35*$D$7/12)</f>
        <v>2196.93139564328</v>
      </c>
      <c r="G35" s="39">
        <f>IF($B35&gt;$D$8,"",E35-F35)</f>
        <v>10245.5897913238</v>
      </c>
      <c r="H35" s="39">
        <f>IF($B35&gt;$D$8,"",D35-G35)</f>
        <v>282678.596294447</v>
      </c>
    </row>
    <row r="36">
      <c r="B36" s="57" t="n">
        <v>24</v>
      </c>
      <c r="C36" s="58">
        <f>IF($B36&gt;$D$8,"",EDATE($D$9,$B36))</f>
        <v>46813.0</v>
      </c>
      <c r="D36" s="39">
        <f>IF($B36&gt;$D$8,"",H35)</f>
        <v>282678.596294447</v>
      </c>
      <c r="E36" s="39">
        <f>IF($B36&gt;$D$8,"",IF($B36=$D$8,D36+F36,$H$5))</f>
        <v>12442.5211869671</v>
      </c>
      <c r="F36" s="39">
        <f>IF($B36&gt;$D$8,"",D36*$D$7/12)</f>
        <v>2120.08947220835</v>
      </c>
      <c r="G36" s="39">
        <f>IF($B36&gt;$D$8,"",E36-F36)</f>
        <v>10322.4317147588</v>
      </c>
      <c r="H36" s="39">
        <f>IF($B36&gt;$D$8,"",D36-G36)</f>
        <v>272356.164579688</v>
      </c>
    </row>
    <row r="37">
      <c r="B37" s="57" t="n">
        <v>25</v>
      </c>
      <c r="C37" s="58">
        <f>IF($B37&gt;$D$8,"",EDATE($D$9,$B37))</f>
        <v>46844.0</v>
      </c>
      <c r="D37" s="39">
        <f>IF($B37&gt;$D$8,"",H36)</f>
        <v>272356.164579688</v>
      </c>
      <c r="E37" s="39">
        <f>IF($B37&gt;$D$8,"",IF($B37=$D$8,D37+F37,$H$5))</f>
        <v>12442.5211869671</v>
      </c>
      <c r="F37" s="39">
        <f>IF($B37&gt;$D$8,"",D37*$D$7/12)</f>
        <v>2042.67123434766</v>
      </c>
      <c r="G37" s="39">
        <f>IF($B37&gt;$D$8,"",E37-F37)</f>
        <v>10399.8499526194</v>
      </c>
      <c r="H37" s="39">
        <f>IF($B37&gt;$D$8,"",D37-G37)</f>
        <v>261956.314627069</v>
      </c>
    </row>
    <row r="38">
      <c r="B38" s="57" t="n">
        <v>26</v>
      </c>
      <c r="C38" s="58">
        <f>IF($B38&gt;$D$8,"",EDATE($D$9,$B38))</f>
        <v>46874.0</v>
      </c>
      <c r="D38" s="39">
        <f>IF($B38&gt;$D$8,"",H37)</f>
        <v>261956.314627069</v>
      </c>
      <c r="E38" s="39">
        <f>IF($B38&gt;$D$8,"",IF($B38=$D$8,D38+F38,$H$5))</f>
        <v>12442.5211869671</v>
      </c>
      <c r="F38" s="39">
        <f>IF($B38&gt;$D$8,"",D38*$D$7/12)</f>
        <v>1964.67235970301</v>
      </c>
      <c r="G38" s="39">
        <f>IF($B38&gt;$D$8,"",E38-F38)</f>
        <v>10477.8488272641</v>
      </c>
      <c r="H38" s="39">
        <f>IF($B38&gt;$D$8,"",D38-G38)</f>
        <v>251478.465799805</v>
      </c>
    </row>
    <row r="39">
      <c r="B39" s="57" t="n">
        <v>27</v>
      </c>
      <c r="C39" s="58">
        <f>IF($B39&gt;$D$8,"",EDATE($D$9,$B39))</f>
        <v>46905.0</v>
      </c>
      <c r="D39" s="39">
        <f>IF($B39&gt;$D$8,"",H38)</f>
        <v>251478.465799805</v>
      </c>
      <c r="E39" s="39">
        <f>IF($B39&gt;$D$8,"",IF($B39=$D$8,D39+F39,$H$5))</f>
        <v>12442.5211869671</v>
      </c>
      <c r="F39" s="39">
        <f>IF($B39&gt;$D$8,"",D39*$D$7/12)</f>
        <v>1886.08849349853</v>
      </c>
      <c r="G39" s="39">
        <f>IF($B39&gt;$D$8,"",E39-F39)</f>
        <v>10556.4326934686</v>
      </c>
      <c r="H39" s="39">
        <f>IF($B39&gt;$D$8,"",D39-G39)</f>
        <v>240922.033106336</v>
      </c>
    </row>
    <row r="40">
      <c r="B40" s="57" t="n">
        <v>28</v>
      </c>
      <c r="C40" s="58">
        <f>IF($B40&gt;$D$8,"",EDATE($D$9,$B40))</f>
        <v>46935.0</v>
      </c>
      <c r="D40" s="39">
        <f>IF($B40&gt;$D$8,"",H39)</f>
        <v>240922.033106336</v>
      </c>
      <c r="E40" s="39">
        <f>IF($B40&gt;$D$8,"",IF($B40=$D$8,D40+F40,$H$5))</f>
        <v>12442.5211869671</v>
      </c>
      <c r="F40" s="39">
        <f>IF($B40&gt;$D$8,"",D40*$D$7/12)</f>
        <v>1806.91524829752</v>
      </c>
      <c r="G40" s="39">
        <f>IF($B40&gt;$D$8,"",E40-F40)</f>
        <v>10635.6059386696</v>
      </c>
      <c r="H40" s="39">
        <f>IF($B40&gt;$D$8,"",D40-G40)</f>
        <v>230286.427167666</v>
      </c>
    </row>
    <row r="41">
      <c r="B41" s="57" t="n">
        <v>29</v>
      </c>
      <c r="C41" s="58">
        <f>IF($B41&gt;$D$8,"",EDATE($D$9,$B41))</f>
        <v>46966.0</v>
      </c>
      <c r="D41" s="39">
        <f>IF($B41&gt;$D$8,"",H40)</f>
        <v>230286.427167666</v>
      </c>
      <c r="E41" s="39">
        <f>IF($B41&gt;$D$8,"",IF($B41=$D$8,D41+F41,$H$5))</f>
        <v>12442.5211869671</v>
      </c>
      <c r="F41" s="39">
        <f>IF($B41&gt;$D$8,"",D41*$D$7/12)</f>
        <v>1727.1482037575</v>
      </c>
      <c r="G41" s="39">
        <f>IF($B41&gt;$D$8,"",E41-F41)</f>
        <v>10715.3729832096</v>
      </c>
      <c r="H41" s="39">
        <f>IF($B41&gt;$D$8,"",D41-G41)</f>
        <v>219571.054184457</v>
      </c>
    </row>
    <row r="42">
      <c r="B42" s="57" t="n">
        <v>30</v>
      </c>
      <c r="C42" s="58">
        <f>IF($B42&gt;$D$8,"",EDATE($D$9,$B42))</f>
        <v>46997.0</v>
      </c>
      <c r="D42" s="39">
        <f>IF($B42&gt;$D$8,"",H41)</f>
        <v>219571.054184457</v>
      </c>
      <c r="E42" s="39">
        <f>IF($B42&gt;$D$8,"",IF($B42=$D$8,D42+F42,$H$5))</f>
        <v>12442.5211869671</v>
      </c>
      <c r="F42" s="39">
        <f>IF($B42&gt;$D$8,"",D42*$D$7/12)</f>
        <v>1646.78290638343</v>
      </c>
      <c r="G42" s="39">
        <f>IF($B42&gt;$D$8,"",E42-F42)</f>
        <v>10795.7382805837</v>
      </c>
      <c r="H42" s="39">
        <f>IF($B42&gt;$D$8,"",D42-G42)</f>
        <v>208775.315903873</v>
      </c>
    </row>
    <row r="43">
      <c r="B43" s="57" t="n">
        <v>31</v>
      </c>
      <c r="C43" s="58">
        <f>IF($B43&gt;$D$8,"",EDATE($D$9,$B43))</f>
        <v>47027.0</v>
      </c>
      <c r="D43" s="39">
        <f>IF($B43&gt;$D$8,"",H42)</f>
        <v>208775.315903873</v>
      </c>
      <c r="E43" s="39">
        <f>IF($B43&gt;$D$8,"",IF($B43=$D$8,D43+F43,$H$5))</f>
        <v>12442.5211869671</v>
      </c>
      <c r="F43" s="39">
        <f>IF($B43&gt;$D$8,"",D43*$D$7/12)</f>
        <v>1565.81486927905</v>
      </c>
      <c r="G43" s="39">
        <f>IF($B43&gt;$D$8,"",E43-F43)</f>
        <v>10876.7063176881</v>
      </c>
      <c r="H43" s="39">
        <f>IF($B43&gt;$D$8,"",D43-G43)</f>
        <v>197898.609586185</v>
      </c>
    </row>
    <row r="44">
      <c r="B44" s="57" t="n">
        <v>32</v>
      </c>
      <c r="C44" s="58">
        <f>IF($B44&gt;$D$8,"",EDATE($D$9,$B44))</f>
        <v>47058.0</v>
      </c>
      <c r="D44" s="39">
        <f>IF($B44&gt;$D$8,"",H43)</f>
        <v>197898.609586185</v>
      </c>
      <c r="E44" s="39">
        <f>IF($B44&gt;$D$8,"",IF($B44=$D$8,D44+F44,$H$5))</f>
        <v>12442.5211869671</v>
      </c>
      <c r="F44" s="39">
        <f>IF($B44&gt;$D$8,"",D44*$D$7/12)</f>
        <v>1484.23957189639</v>
      </c>
      <c r="G44" s="39">
        <f>IF($B44&gt;$D$8,"",E44-F44)</f>
        <v>10958.2816150707</v>
      </c>
      <c r="H44" s="39">
        <f>IF($B44&gt;$D$8,"",D44-G44)</f>
        <v>186940.327971114</v>
      </c>
    </row>
    <row r="45">
      <c r="B45" s="57" t="n">
        <v>33</v>
      </c>
      <c r="C45" s="58">
        <f>IF($B45&gt;$D$8,"",EDATE($D$9,$B45))</f>
        <v>47088.0</v>
      </c>
      <c r="D45" s="39">
        <f>IF($B45&gt;$D$8,"",H44)</f>
        <v>186940.327971114</v>
      </c>
      <c r="E45" s="39">
        <f>IF($B45&gt;$D$8,"",IF($B45=$D$8,D45+F45,$H$5))</f>
        <v>12442.5211869671</v>
      </c>
      <c r="F45" s="39">
        <f>IF($B45&gt;$D$8,"",D45*$D$7/12)</f>
        <v>1402.05245978336</v>
      </c>
      <c r="G45" s="39">
        <f>IF($B45&gt;$D$8,"",E45-F45)</f>
        <v>11040.4687271837</v>
      </c>
      <c r="H45" s="39">
        <f>IF($B45&gt;$D$8,"",D45-G45)</f>
        <v>175899.859243931</v>
      </c>
    </row>
    <row r="46">
      <c r="B46" s="57" t="n">
        <v>34</v>
      </c>
      <c r="C46" s="58">
        <f>IF($B46&gt;$D$8,"",EDATE($D$9,$B46))</f>
        <v>47119.0</v>
      </c>
      <c r="D46" s="39">
        <f>IF($B46&gt;$D$8,"",H45)</f>
        <v>175899.859243931</v>
      </c>
      <c r="E46" s="39">
        <f>IF($B46&gt;$D$8,"",IF($B46=$D$8,D46+F46,$H$5))</f>
        <v>12442.5211869671</v>
      </c>
      <c r="F46" s="39">
        <f>IF($B46&gt;$D$8,"",D46*$D$7/12)</f>
        <v>1319.24894432948</v>
      </c>
      <c r="G46" s="39">
        <f>IF($B46&gt;$D$8,"",E46-F46)</f>
        <v>11123.2722426376</v>
      </c>
      <c r="H46" s="39">
        <f>IF($B46&gt;$D$8,"",D46-G46)</f>
        <v>164776.587001293</v>
      </c>
    </row>
    <row r="47">
      <c r="B47" s="57" t="n">
        <v>35</v>
      </c>
      <c r="C47" s="58">
        <f>IF($B47&gt;$D$8,"",EDATE($D$9,$B47))</f>
        <v>47150.0</v>
      </c>
      <c r="D47" s="39">
        <f>IF($B47&gt;$D$8,"",H46)</f>
        <v>164776.587001293</v>
      </c>
      <c r="E47" s="39">
        <f>IF($B47&gt;$D$8,"",IF($B47=$D$8,D47+F47,$H$5))</f>
        <v>12442.5211869671</v>
      </c>
      <c r="F47" s="39">
        <f>IF($B47&gt;$D$8,"",D47*$D$7/12)</f>
        <v>1235.8244025097</v>
      </c>
      <c r="G47" s="39">
        <f>IF($B47&gt;$D$8,"",E47-F47)</f>
        <v>11206.6967844574</v>
      </c>
      <c r="H47" s="39">
        <f>IF($B47&gt;$D$8,"",D47-G47)</f>
        <v>153569.890216836</v>
      </c>
    </row>
    <row r="48">
      <c r="B48" s="57" t="n">
        <v>36</v>
      </c>
      <c r="C48" s="58">
        <f>IF($B48&gt;$D$8,"",EDATE($D$9,$B48))</f>
        <v>47178.0</v>
      </c>
      <c r="D48" s="39">
        <f>IF($B48&gt;$D$8,"",H47)</f>
        <v>153569.890216836</v>
      </c>
      <c r="E48" s="39">
        <f>IF($B48&gt;$D$8,"",IF($B48=$D$8,D48+F48,$H$5))</f>
        <v>12442.5211869671</v>
      </c>
      <c r="F48" s="39">
        <f>IF($B48&gt;$D$8,"",D48*$D$7/12)</f>
        <v>1151.77417662627</v>
      </c>
      <c r="G48" s="39">
        <f>IF($B48&gt;$D$8,"",E48-F48)</f>
        <v>11290.7470103408</v>
      </c>
      <c r="H48" s="39">
        <f>IF($B48&gt;$D$8,"",D48-G48)</f>
        <v>142279.143206495</v>
      </c>
    </row>
    <row r="49">
      <c r="B49" s="57" t="n">
        <v>37</v>
      </c>
      <c r="C49" s="58">
        <f>IF($B49&gt;$D$8,"",EDATE($D$9,$B49))</f>
        <v>47209.0</v>
      </c>
      <c r="D49" s="39">
        <f>IF($B49&gt;$D$8,"",H48)</f>
        <v>142279.143206495</v>
      </c>
      <c r="E49" s="39">
        <f>IF($B49&gt;$D$8,"",IF($B49=$D$8,D49+F49,$H$5))</f>
        <v>12442.5211869671</v>
      </c>
      <c r="F49" s="39">
        <f>IF($B49&gt;$D$8,"",D49*$D$7/12)</f>
        <v>1067.09357404871</v>
      </c>
      <c r="G49" s="39">
        <f>IF($B49&gt;$D$8,"",E49-F49)</f>
        <v>11375.4276129184</v>
      </c>
      <c r="H49" s="39">
        <f>IF($B49&gt;$D$8,"",D49-G49)</f>
        <v>130903.715593576</v>
      </c>
    </row>
    <row r="50">
      <c r="B50" s="57" t="n">
        <v>38</v>
      </c>
      <c r="C50" s="58">
        <f>IF($B50&gt;$D$8,"",EDATE($D$9,$B50))</f>
        <v>47239.0</v>
      </c>
      <c r="D50" s="39">
        <f>IF($B50&gt;$D$8,"",H49)</f>
        <v>130903.715593576</v>
      </c>
      <c r="E50" s="39">
        <f>IF($B50&gt;$D$8,"",IF($B50=$D$8,D50+F50,$H$5))</f>
        <v>12442.5211869671</v>
      </c>
      <c r="F50" s="39">
        <f>IF($B50&gt;$D$8,"",D50*$D$7/12)</f>
        <v>981.777866951822</v>
      </c>
      <c r="G50" s="39">
        <f>IF($B50&gt;$D$8,"",E50-F50)</f>
        <v>11460.7433200153</v>
      </c>
      <c r="H50" s="39">
        <f>IF($B50&gt;$D$8,"",D50-G50)</f>
        <v>119442.972273561</v>
      </c>
    </row>
    <row r="51">
      <c r="B51" s="57" t="n">
        <v>39</v>
      </c>
      <c r="C51" s="58">
        <f>IF($B51&gt;$D$8,"",EDATE($D$9,$B51))</f>
        <v>47270.0</v>
      </c>
      <c r="D51" s="39">
        <f>IF($B51&gt;$D$8,"",H50)</f>
        <v>119442.972273561</v>
      </c>
      <c r="E51" s="39">
        <f>IF($B51&gt;$D$8,"",IF($B51=$D$8,D51+F51,$H$5))</f>
        <v>12442.5211869671</v>
      </c>
      <c r="F51" s="39">
        <f>IF($B51&gt;$D$8,"",D51*$D$7/12)</f>
        <v>895.822292051708</v>
      </c>
      <c r="G51" s="39">
        <f>IF($B51&gt;$D$8,"",E51-F51)</f>
        <v>11546.6988949154</v>
      </c>
      <c r="H51" s="39">
        <f>IF($B51&gt;$D$8,"",D51-G51)</f>
        <v>107896.273378646</v>
      </c>
    </row>
    <row r="52">
      <c r="B52" s="57" t="n">
        <v>40</v>
      </c>
      <c r="C52" s="58">
        <f>IF($B52&gt;$D$8,"",EDATE($D$9,$B52))</f>
        <v>47300.0</v>
      </c>
      <c r="D52" s="39">
        <f>IF($B52&gt;$D$8,"",H51)</f>
        <v>107896.273378646</v>
      </c>
      <c r="E52" s="39">
        <f>IF($B52&gt;$D$8,"",IF($B52=$D$8,D52+F52,$H$5))</f>
        <v>12442.5211869671</v>
      </c>
      <c r="F52" s="39">
        <f>IF($B52&gt;$D$8,"",D52*$D$7/12)</f>
        <v>809.222050339842</v>
      </c>
      <c r="G52" s="39">
        <f>IF($B52&gt;$D$8,"",E52-F52)</f>
        <v>11633.2991366273</v>
      </c>
      <c r="H52" s="39">
        <f>IF($B52&gt;$D$8,"",D52-G52)</f>
        <v>96262.9742420184</v>
      </c>
    </row>
    <row r="53">
      <c r="B53" s="57" t="n">
        <v>41</v>
      </c>
      <c r="C53" s="58">
        <f>IF($B53&gt;$D$8,"",EDATE($D$9,$B53))</f>
        <v>47331.0</v>
      </c>
      <c r="D53" s="39">
        <f>IF($B53&gt;$D$8,"",H52)</f>
        <v>96262.9742420184</v>
      </c>
      <c r="E53" s="39">
        <f>IF($B53&gt;$D$8,"",IF($B53=$D$8,D53+F53,$H$5))</f>
        <v>12442.5211869671</v>
      </c>
      <c r="F53" s="39">
        <f>IF($B53&gt;$D$8,"",D53*$D$7/12)</f>
        <v>721.972306815138</v>
      </c>
      <c r="G53" s="39">
        <f>IF($B53&gt;$D$8,"",E53-F53)</f>
        <v>11720.548880152</v>
      </c>
      <c r="H53" s="39">
        <f>IF($B53&gt;$D$8,"",D53-G53)</f>
        <v>84542.4253618664</v>
      </c>
    </row>
    <row r="54">
      <c r="B54" s="57" t="n">
        <v>42</v>
      </c>
      <c r="C54" s="58">
        <f>IF($B54&gt;$D$8,"",EDATE($D$9,$B54))</f>
        <v>47362.0</v>
      </c>
      <c r="D54" s="39">
        <f>IF($B54&gt;$D$8,"",H53)</f>
        <v>84542.4253618664</v>
      </c>
      <c r="E54" s="39">
        <f>IF($B54&gt;$D$8,"",IF($B54=$D$8,D54+F54,$H$5))</f>
        <v>12442.5211869671</v>
      </c>
      <c r="F54" s="39">
        <f>IF($B54&gt;$D$8,"",D54*$D$7/12)</f>
        <v>634.068190213998</v>
      </c>
      <c r="G54" s="39">
        <f>IF($B54&gt;$D$8,"",E54-F54)</f>
        <v>11808.4529967531</v>
      </c>
      <c r="H54" s="39">
        <f>IF($B54&gt;$D$8,"",D54-G54)</f>
        <v>72733.9723651133</v>
      </c>
    </row>
    <row r="55">
      <c r="B55" s="57" t="n">
        <v>43</v>
      </c>
      <c r="C55" s="58">
        <f>IF($B55&gt;$D$8,"",EDATE($D$9,$B55))</f>
        <v>47392.0</v>
      </c>
      <c r="D55" s="39">
        <f>IF($B55&gt;$D$8,"",H54)</f>
        <v>72733.9723651133</v>
      </c>
      <c r="E55" s="39">
        <f>IF($B55&gt;$D$8,"",IF($B55=$D$8,D55+F55,$H$5))</f>
        <v>12442.5211869671</v>
      </c>
      <c r="F55" s="39">
        <f>IF($B55&gt;$D$8,"",D55*$D$7/12)</f>
        <v>545.50479273835</v>
      </c>
      <c r="G55" s="39">
        <f>IF($B55&gt;$D$8,"",E55-F55)</f>
        <v>11897.0163942288</v>
      </c>
      <c r="H55" s="39">
        <f>IF($B55&gt;$D$8,"",D55-G55)</f>
        <v>60836.9559708845</v>
      </c>
    </row>
    <row r="56">
      <c r="B56" s="57" t="n">
        <v>44</v>
      </c>
      <c r="C56" s="58">
        <f>IF($B56&gt;$D$8,"",EDATE($D$9,$B56))</f>
        <v>47423.0</v>
      </c>
      <c r="D56" s="39">
        <f>IF($B56&gt;$D$8,"",H55)</f>
        <v>60836.9559708845</v>
      </c>
      <c r="E56" s="39">
        <f>IF($B56&gt;$D$8,"",IF($B56=$D$8,D56+F56,$H$5))</f>
        <v>12442.5211869671</v>
      </c>
      <c r="F56" s="39">
        <f>IF($B56&gt;$D$8,"",D56*$D$7/12)</f>
        <v>456.277169781634</v>
      </c>
      <c r="G56" s="39">
        <f>IF($B56&gt;$D$8,"",E56-F56)</f>
        <v>11986.2440171855</v>
      </c>
      <c r="H56" s="39">
        <f>IF($B56&gt;$D$8,"",D56-G56)</f>
        <v>48850.7119536991</v>
      </c>
    </row>
    <row r="57">
      <c r="B57" s="57" t="n">
        <v>45</v>
      </c>
      <c r="C57" s="58">
        <f>IF($B57&gt;$D$8,"",EDATE($D$9,$B57))</f>
        <v>47453.0</v>
      </c>
      <c r="D57" s="39">
        <f>IF($B57&gt;$D$8,"",H56)</f>
        <v>48850.7119536991</v>
      </c>
      <c r="E57" s="39">
        <f>IF($B57&gt;$D$8,"",IF($B57=$D$8,D57+F57,$H$5))</f>
        <v>12442.5211869671</v>
      </c>
      <c r="F57" s="39">
        <f>IF($B57&gt;$D$8,"",D57*$D$7/12)</f>
        <v>366.380339652743</v>
      </c>
      <c r="G57" s="39">
        <f>IF($B57&gt;$D$8,"",E57-F57)</f>
        <v>12076.1408473144</v>
      </c>
      <c r="H57" s="39">
        <f>IF($B57&gt;$D$8,"",D57-G57)</f>
        <v>36774.5711063847</v>
      </c>
    </row>
    <row r="58">
      <c r="B58" s="57" t="n">
        <v>46</v>
      </c>
      <c r="C58" s="58">
        <f>IF($B58&gt;$D$8,"",EDATE($D$9,$B58))</f>
        <v>47484.0</v>
      </c>
      <c r="D58" s="39">
        <f>IF($B58&gt;$D$8,"",H57)</f>
        <v>36774.5711063847</v>
      </c>
      <c r="E58" s="39">
        <f>IF($B58&gt;$D$8,"",IF($B58=$D$8,D58+F58,$H$5))</f>
        <v>12442.5211869671</v>
      </c>
      <c r="F58" s="39">
        <f>IF($B58&gt;$D$8,"",D58*$D$7/12)</f>
        <v>275.809283297885</v>
      </c>
      <c r="G58" s="39">
        <f>IF($B58&gt;$D$8,"",E58-F58)</f>
        <v>12166.7119036692</v>
      </c>
      <c r="H58" s="39">
        <f>IF($B58&gt;$D$8,"",D58-G58)</f>
        <v>24607.8592027155</v>
      </c>
    </row>
    <row r="59">
      <c r="B59" s="57" t="n">
        <v>47</v>
      </c>
      <c r="C59" s="58">
        <f>IF($B59&gt;$D$8,"",EDATE($D$9,$B59))</f>
        <v>47515.0</v>
      </c>
      <c r="D59" s="39">
        <f>IF($B59&gt;$D$8,"",H58)</f>
        <v>24607.8592027155</v>
      </c>
      <c r="E59" s="39">
        <f>IF($B59&gt;$D$8,"",IF($B59=$D$8,D59+F59,$H$5))</f>
        <v>12442.5211869671</v>
      </c>
      <c r="F59" s="39">
        <f>IF($B59&gt;$D$8,"",D59*$D$7/12)</f>
        <v>184.558944020366</v>
      </c>
      <c r="G59" s="39">
        <f>IF($B59&gt;$D$8,"",E59-F59)</f>
        <v>12257.9622429467</v>
      </c>
      <c r="H59" s="39">
        <f>IF($B59&gt;$D$8,"",D59-G59)</f>
        <v>12349.8969597688</v>
      </c>
    </row>
    <row r="60">
      <c r="B60" s="57" t="n">
        <v>48</v>
      </c>
      <c r="C60" s="58">
        <f>IF($B60&gt;$D$8,"",EDATE($D$9,$B60))</f>
        <v>47543.0</v>
      </c>
      <c r="D60" s="39">
        <f>IF($B60&gt;$D$8,"",H59)</f>
        <v>12349.8969597688</v>
      </c>
      <c r="E60" s="39">
        <f>IF($B60&gt;$D$8,"",IF($B60=$D$8,D60+F60,$H$5))</f>
        <v>12442.521186967</v>
      </c>
      <c r="F60" s="39">
        <f>IF($B60&gt;$D$8,"",D60*$D$7/12)</f>
        <v>92.6242271982657</v>
      </c>
      <c r="G60" s="39">
        <f>IF($B60&gt;$D$8,"",E60-F60)</f>
        <v>12349.8969597688</v>
      </c>
      <c r="H60" s="39">
        <f>IF($B60&gt;$D$8,"",D60-G60)</f>
        <v>0</v>
      </c>
    </row>
    <row r="61">
      <c r="B61" s="57" t="n">
        <v>49</v>
      </c>
      <c r="C61" s="58">
        <f>IF($B61&gt;$D$8,"",EDATE($D$9,$B61))</f>
        <v/>
      </c>
      <c r="D61" s="39">
        <f>IF($B61&gt;$D$8,"",H60)</f>
        <v/>
      </c>
      <c r="E61" s="39">
        <f>IF($B61&gt;$D$8,"",IF($B61=$D$8,D61+F61,$H$5))</f>
        <v/>
      </c>
      <c r="F61" s="39">
        <f>IF($B61&gt;$D$8,"",D61*$D$7/12)</f>
        <v/>
      </c>
      <c r="G61" s="39">
        <f>IF($B61&gt;$D$8,"",E61-F61)</f>
        <v/>
      </c>
      <c r="H61" s="39">
        <f>IF($B61&gt;$D$8,"",D61-G61)</f>
        <v/>
      </c>
    </row>
    <row r="62">
      <c r="B62" s="57" t="n">
        <v>50</v>
      </c>
      <c r="C62" s="58">
        <f>IF($B62&gt;$D$8,"",EDATE($D$9,$B62))</f>
        <v/>
      </c>
      <c r="D62" s="39">
        <f>IF($B62&gt;$D$8,"",H61)</f>
        <v/>
      </c>
      <c r="E62" s="39">
        <f>IF($B62&gt;$D$8,"",IF($B62=$D$8,D62+F62,$H$5))</f>
        <v/>
      </c>
      <c r="F62" s="39">
        <f>IF($B62&gt;$D$8,"",D62*$D$7/12)</f>
        <v/>
      </c>
      <c r="G62" s="39">
        <f>IF($B62&gt;$D$8,"",E62-F62)</f>
        <v/>
      </c>
      <c r="H62" s="39">
        <f>IF($B62&gt;$D$8,"",D62-G62)</f>
        <v/>
      </c>
    </row>
    <row r="63">
      <c r="B63" s="57" t="n">
        <v>51</v>
      </c>
      <c r="C63" s="58">
        <f>IF($B63&gt;$D$8,"",EDATE($D$9,$B63))</f>
        <v/>
      </c>
      <c r="D63" s="39">
        <f>IF($B63&gt;$D$8,"",H62)</f>
        <v/>
      </c>
      <c r="E63" s="39">
        <f>IF($B63&gt;$D$8,"",IF($B63=$D$8,D63+F63,$H$5))</f>
        <v/>
      </c>
      <c r="F63" s="39">
        <f>IF($B63&gt;$D$8,"",D63*$D$7/12)</f>
        <v/>
      </c>
      <c r="G63" s="39">
        <f>IF($B63&gt;$D$8,"",E63-F63)</f>
        <v/>
      </c>
      <c r="H63" s="39">
        <f>IF($B63&gt;$D$8,"",D63-G63)</f>
        <v/>
      </c>
    </row>
    <row r="64">
      <c r="B64" s="57" t="n">
        <v>52</v>
      </c>
      <c r="C64" s="58">
        <f>IF($B64&gt;$D$8,"",EDATE($D$9,$B64))</f>
        <v/>
      </c>
      <c r="D64" s="39">
        <f>IF($B64&gt;$D$8,"",H63)</f>
        <v/>
      </c>
      <c r="E64" s="39">
        <f>IF($B64&gt;$D$8,"",IF($B64=$D$8,D64+F64,$H$5))</f>
        <v/>
      </c>
      <c r="F64" s="39">
        <f>IF($B64&gt;$D$8,"",D64*$D$7/12)</f>
        <v/>
      </c>
      <c r="G64" s="39">
        <f>IF($B64&gt;$D$8,"",E64-F64)</f>
        <v/>
      </c>
      <c r="H64" s="39">
        <f>IF($B64&gt;$D$8,"",D64-G64)</f>
        <v/>
      </c>
    </row>
    <row r="65">
      <c r="B65" s="57" t="n">
        <v>53</v>
      </c>
      <c r="C65" s="58">
        <f>IF($B65&gt;$D$8,"",EDATE($D$9,$B65))</f>
        <v/>
      </c>
      <c r="D65" s="39">
        <f>IF($B65&gt;$D$8,"",H64)</f>
        <v/>
      </c>
      <c r="E65" s="39">
        <f>IF($B65&gt;$D$8,"",IF($B65=$D$8,D65+F65,$H$5))</f>
        <v/>
      </c>
      <c r="F65" s="39">
        <f>IF($B65&gt;$D$8,"",D65*$D$7/12)</f>
        <v/>
      </c>
      <c r="G65" s="39">
        <f>IF($B65&gt;$D$8,"",E65-F65)</f>
        <v/>
      </c>
      <c r="H65" s="39">
        <f>IF($B65&gt;$D$8,"",D65-G65)</f>
        <v/>
      </c>
    </row>
    <row r="66">
      <c r="B66" s="57" t="n">
        <v>54</v>
      </c>
      <c r="C66" s="58">
        <f>IF($B66&gt;$D$8,"",EDATE($D$9,$B66))</f>
        <v/>
      </c>
      <c r="D66" s="39">
        <f>IF($B66&gt;$D$8,"",H65)</f>
        <v/>
      </c>
      <c r="E66" s="39">
        <f>IF($B66&gt;$D$8,"",IF($B66=$D$8,D66+F66,$H$5))</f>
        <v/>
      </c>
      <c r="F66" s="39">
        <f>IF($B66&gt;$D$8,"",D66*$D$7/12)</f>
        <v/>
      </c>
      <c r="G66" s="39">
        <f>IF($B66&gt;$D$8,"",E66-F66)</f>
        <v/>
      </c>
      <c r="H66" s="39">
        <f>IF($B66&gt;$D$8,"",D66-G66)</f>
        <v/>
      </c>
    </row>
    <row r="67">
      <c r="B67" s="57" t="n">
        <v>55</v>
      </c>
      <c r="C67" s="58">
        <f>IF($B67&gt;$D$8,"",EDATE($D$9,$B67))</f>
        <v/>
      </c>
      <c r="D67" s="39">
        <f>IF($B67&gt;$D$8,"",H66)</f>
        <v/>
      </c>
      <c r="E67" s="39">
        <f>IF($B67&gt;$D$8,"",IF($B67=$D$8,D67+F67,$H$5))</f>
        <v/>
      </c>
      <c r="F67" s="39">
        <f>IF($B67&gt;$D$8,"",D67*$D$7/12)</f>
        <v/>
      </c>
      <c r="G67" s="39">
        <f>IF($B67&gt;$D$8,"",E67-F67)</f>
        <v/>
      </c>
      <c r="H67" s="39">
        <f>IF($B67&gt;$D$8,"",D67-G67)</f>
        <v/>
      </c>
    </row>
    <row r="68">
      <c r="B68" s="57" t="n">
        <v>56</v>
      </c>
      <c r="C68" s="58">
        <f>IF($B68&gt;$D$8,"",EDATE($D$9,$B68))</f>
        <v/>
      </c>
      <c r="D68" s="39">
        <f>IF($B68&gt;$D$8,"",H67)</f>
        <v/>
      </c>
      <c r="E68" s="39">
        <f>IF($B68&gt;$D$8,"",IF($B68=$D$8,D68+F68,$H$5))</f>
        <v/>
      </c>
      <c r="F68" s="39">
        <f>IF($B68&gt;$D$8,"",D68*$D$7/12)</f>
        <v/>
      </c>
      <c r="G68" s="39">
        <f>IF($B68&gt;$D$8,"",E68-F68)</f>
        <v/>
      </c>
      <c r="H68" s="39">
        <f>IF($B68&gt;$D$8,"",D68-G68)</f>
        <v/>
      </c>
    </row>
    <row r="69">
      <c r="B69" s="57" t="n">
        <v>57</v>
      </c>
      <c r="C69" s="58">
        <f>IF($B69&gt;$D$8,"",EDATE($D$9,$B69))</f>
        <v/>
      </c>
      <c r="D69" s="39">
        <f>IF($B69&gt;$D$8,"",H68)</f>
        <v/>
      </c>
      <c r="E69" s="39">
        <f>IF($B69&gt;$D$8,"",IF($B69=$D$8,D69+F69,$H$5))</f>
        <v/>
      </c>
      <c r="F69" s="39">
        <f>IF($B69&gt;$D$8,"",D69*$D$7/12)</f>
        <v/>
      </c>
      <c r="G69" s="39">
        <f>IF($B69&gt;$D$8,"",E69-F69)</f>
        <v/>
      </c>
      <c r="H69" s="39">
        <f>IF($B69&gt;$D$8,"",D69-G69)</f>
        <v/>
      </c>
    </row>
    <row r="70">
      <c r="B70" s="57" t="n">
        <v>58</v>
      </c>
      <c r="C70" s="58">
        <f>IF($B70&gt;$D$8,"",EDATE($D$9,$B70))</f>
        <v/>
      </c>
      <c r="D70" s="39">
        <f>IF($B70&gt;$D$8,"",H69)</f>
        <v/>
      </c>
      <c r="E70" s="39">
        <f>IF($B70&gt;$D$8,"",IF($B70=$D$8,D70+F70,$H$5))</f>
        <v/>
      </c>
      <c r="F70" s="39">
        <f>IF($B70&gt;$D$8,"",D70*$D$7/12)</f>
        <v/>
      </c>
      <c r="G70" s="39">
        <f>IF($B70&gt;$D$8,"",E70-F70)</f>
        <v/>
      </c>
      <c r="H70" s="39">
        <f>IF($B70&gt;$D$8,"",D70-G70)</f>
        <v/>
      </c>
    </row>
    <row r="71">
      <c r="B71" s="57" t="n">
        <v>59</v>
      </c>
      <c r="C71" s="58">
        <f>IF($B71&gt;$D$8,"",EDATE($D$9,$B71))</f>
        <v/>
      </c>
      <c r="D71" s="39">
        <f>IF($B71&gt;$D$8,"",H70)</f>
        <v/>
      </c>
      <c r="E71" s="39">
        <f>IF($B71&gt;$D$8,"",IF($B71=$D$8,D71+F71,$H$5))</f>
        <v/>
      </c>
      <c r="F71" s="39">
        <f>IF($B71&gt;$D$8,"",D71*$D$7/12)</f>
        <v/>
      </c>
      <c r="G71" s="39">
        <f>IF($B71&gt;$D$8,"",E71-F71)</f>
        <v/>
      </c>
      <c r="H71" s="39">
        <f>IF($B71&gt;$D$8,"",D71-G71)</f>
        <v/>
      </c>
    </row>
    <row r="72">
      <c r="B72" s="57" t="n">
        <v>60</v>
      </c>
      <c r="C72" s="58">
        <f>IF($B72&gt;$D$8,"",EDATE($D$9,$B72))</f>
        <v/>
      </c>
      <c r="D72" s="39">
        <f>IF($B72&gt;$D$8,"",H71)</f>
        <v/>
      </c>
      <c r="E72" s="39">
        <f>IF($B72&gt;$D$8,"",IF($B72=$D$8,D72+F72,$H$5))</f>
        <v/>
      </c>
      <c r="F72" s="39">
        <f>IF($B72&gt;$D$8,"",D72*$D$7/12)</f>
        <v/>
      </c>
      <c r="G72" s="39">
        <f>IF($B72&gt;$D$8,"",E72-F72)</f>
        <v/>
      </c>
      <c r="H72" s="39">
        <f>IF($B72&gt;$D$8,"",D72-G72)</f>
        <v/>
      </c>
    </row>
    <row r="73">
      <c r="B73" s="57" t="n">
        <v>61</v>
      </c>
      <c r="C73" s="58">
        <f>IF($B73&gt;$D$8,"",EDATE($D$9,$B73))</f>
        <v/>
      </c>
      <c r="D73" s="39">
        <f>IF($B73&gt;$D$8,"",H72)</f>
        <v/>
      </c>
      <c r="E73" s="39">
        <f>IF($B73&gt;$D$8,"",IF($B73=$D$8,D73+F73,$H$5))</f>
        <v/>
      </c>
      <c r="F73" s="39">
        <f>IF($B73&gt;$D$8,"",D73*$D$7/12)</f>
        <v/>
      </c>
      <c r="G73" s="39">
        <f>IF($B73&gt;$D$8,"",E73-F73)</f>
        <v/>
      </c>
      <c r="H73" s="39">
        <f>IF($B73&gt;$D$8,"",D73-G73)</f>
        <v/>
      </c>
    </row>
    <row r="74">
      <c r="B74" s="57" t="n">
        <v>62</v>
      </c>
      <c r="C74" s="58">
        <f>IF($B74&gt;$D$8,"",EDATE($D$9,$B74))</f>
        <v/>
      </c>
      <c r="D74" s="39">
        <f>IF($B74&gt;$D$8,"",H73)</f>
        <v/>
      </c>
      <c r="E74" s="39">
        <f>IF($B74&gt;$D$8,"",IF($B74=$D$8,D74+F74,$H$5))</f>
        <v/>
      </c>
      <c r="F74" s="39">
        <f>IF($B74&gt;$D$8,"",D74*$D$7/12)</f>
        <v/>
      </c>
      <c r="G74" s="39">
        <f>IF($B74&gt;$D$8,"",E74-F74)</f>
        <v/>
      </c>
      <c r="H74" s="39">
        <f>IF($B74&gt;$D$8,"",D74-G74)</f>
        <v/>
      </c>
    </row>
    <row r="75">
      <c r="B75" s="57" t="n">
        <v>63</v>
      </c>
      <c r="C75" s="58">
        <f>IF($B75&gt;$D$8,"",EDATE($D$9,$B75))</f>
        <v/>
      </c>
      <c r="D75" s="39">
        <f>IF($B75&gt;$D$8,"",H74)</f>
        <v/>
      </c>
      <c r="E75" s="39">
        <f>IF($B75&gt;$D$8,"",IF($B75=$D$8,D75+F75,$H$5))</f>
        <v/>
      </c>
      <c r="F75" s="39">
        <f>IF($B75&gt;$D$8,"",D75*$D$7/12)</f>
        <v/>
      </c>
      <c r="G75" s="39">
        <f>IF($B75&gt;$D$8,"",E75-F75)</f>
        <v/>
      </c>
      <c r="H75" s="39">
        <f>IF($B75&gt;$D$8,"",D75-G75)</f>
        <v/>
      </c>
    </row>
    <row r="76">
      <c r="B76" s="57" t="n">
        <v>64</v>
      </c>
      <c r="C76" s="58">
        <f>IF($B76&gt;$D$8,"",EDATE($D$9,$B76))</f>
        <v/>
      </c>
      <c r="D76" s="39">
        <f>IF($B76&gt;$D$8,"",H75)</f>
        <v/>
      </c>
      <c r="E76" s="39">
        <f>IF($B76&gt;$D$8,"",IF($B76=$D$8,D76+F76,$H$5))</f>
        <v/>
      </c>
      <c r="F76" s="39">
        <f>IF($B76&gt;$D$8,"",D76*$D$7/12)</f>
        <v/>
      </c>
      <c r="G76" s="39">
        <f>IF($B76&gt;$D$8,"",E76-F76)</f>
        <v/>
      </c>
      <c r="H76" s="39">
        <f>IF($B76&gt;$D$8,"",D76-G76)</f>
        <v/>
      </c>
    </row>
    <row r="77">
      <c r="B77" s="57" t="n">
        <v>65</v>
      </c>
      <c r="C77" s="58">
        <f>IF($B77&gt;$D$8,"",EDATE($D$9,$B77))</f>
        <v/>
      </c>
      <c r="D77" s="39">
        <f>IF($B77&gt;$D$8,"",H76)</f>
        <v/>
      </c>
      <c r="E77" s="39">
        <f>IF($B77&gt;$D$8,"",IF($B77=$D$8,D77+F77,$H$5))</f>
        <v/>
      </c>
      <c r="F77" s="39">
        <f>IF($B77&gt;$D$8,"",D77*$D$7/12)</f>
        <v/>
      </c>
      <c r="G77" s="39">
        <f>IF($B77&gt;$D$8,"",E77-F77)</f>
        <v/>
      </c>
      <c r="H77" s="39">
        <f>IF($B77&gt;$D$8,"",D77-G77)</f>
        <v/>
      </c>
    </row>
    <row r="78">
      <c r="B78" s="57" t="n">
        <v>66</v>
      </c>
      <c r="C78" s="58">
        <f>IF($B78&gt;$D$8,"",EDATE($D$9,$B78))</f>
        <v/>
      </c>
      <c r="D78" s="39">
        <f>IF($B78&gt;$D$8,"",H77)</f>
        <v/>
      </c>
      <c r="E78" s="39">
        <f>IF($B78&gt;$D$8,"",IF($B78=$D$8,D78+F78,$H$5))</f>
        <v/>
      </c>
      <c r="F78" s="39">
        <f>IF($B78&gt;$D$8,"",D78*$D$7/12)</f>
        <v/>
      </c>
      <c r="G78" s="39">
        <f>IF($B78&gt;$D$8,"",E78-F78)</f>
        <v/>
      </c>
      <c r="H78" s="39">
        <f>IF($B78&gt;$D$8,"",D78-G78)</f>
        <v/>
      </c>
    </row>
    <row r="79">
      <c r="B79" s="57" t="n">
        <v>67</v>
      </c>
      <c r="C79" s="58">
        <f>IF($B79&gt;$D$8,"",EDATE($D$9,$B79))</f>
        <v/>
      </c>
      <c r="D79" s="39">
        <f>IF($B79&gt;$D$8,"",H78)</f>
        <v/>
      </c>
      <c r="E79" s="39">
        <f>IF($B79&gt;$D$8,"",IF($B79=$D$8,D79+F79,$H$5))</f>
        <v/>
      </c>
      <c r="F79" s="39">
        <f>IF($B79&gt;$D$8,"",D79*$D$7/12)</f>
        <v/>
      </c>
      <c r="G79" s="39">
        <f>IF($B79&gt;$D$8,"",E79-F79)</f>
        <v/>
      </c>
      <c r="H79" s="39">
        <f>IF($B79&gt;$D$8,"",D79-G79)</f>
        <v/>
      </c>
    </row>
    <row r="80">
      <c r="B80" s="57" t="n">
        <v>68</v>
      </c>
      <c r="C80" s="58">
        <f>IF($B80&gt;$D$8,"",EDATE($D$9,$B80))</f>
        <v/>
      </c>
      <c r="D80" s="39">
        <f>IF($B80&gt;$D$8,"",H79)</f>
        <v/>
      </c>
      <c r="E80" s="39">
        <f>IF($B80&gt;$D$8,"",IF($B80=$D$8,D80+F80,$H$5))</f>
        <v/>
      </c>
      <c r="F80" s="39">
        <f>IF($B80&gt;$D$8,"",D80*$D$7/12)</f>
        <v/>
      </c>
      <c r="G80" s="39">
        <f>IF($B80&gt;$D$8,"",E80-F80)</f>
        <v/>
      </c>
      <c r="H80" s="39">
        <f>IF($B80&gt;$D$8,"",D80-G80)</f>
        <v/>
      </c>
    </row>
    <row r="81">
      <c r="B81" s="57" t="n">
        <v>69</v>
      </c>
      <c r="C81" s="58">
        <f>IF($B81&gt;$D$8,"",EDATE($D$9,$B81))</f>
        <v/>
      </c>
      <c r="D81" s="39">
        <f>IF($B81&gt;$D$8,"",H80)</f>
        <v/>
      </c>
      <c r="E81" s="39">
        <f>IF($B81&gt;$D$8,"",IF($B81=$D$8,D81+F81,$H$5))</f>
        <v/>
      </c>
      <c r="F81" s="39">
        <f>IF($B81&gt;$D$8,"",D81*$D$7/12)</f>
        <v/>
      </c>
      <c r="G81" s="39">
        <f>IF($B81&gt;$D$8,"",E81-F81)</f>
        <v/>
      </c>
      <c r="H81" s="39">
        <f>IF($B81&gt;$D$8,"",D81-G81)</f>
        <v/>
      </c>
    </row>
    <row r="82">
      <c r="B82" s="57" t="n">
        <v>70</v>
      </c>
      <c r="C82" s="58">
        <f>IF($B82&gt;$D$8,"",EDATE($D$9,$B82))</f>
        <v/>
      </c>
      <c r="D82" s="39">
        <f>IF($B82&gt;$D$8,"",H81)</f>
        <v/>
      </c>
      <c r="E82" s="39">
        <f>IF($B82&gt;$D$8,"",IF($B82=$D$8,D82+F82,$H$5))</f>
        <v/>
      </c>
      <c r="F82" s="39">
        <f>IF($B82&gt;$D$8,"",D82*$D$7/12)</f>
        <v/>
      </c>
      <c r="G82" s="39">
        <f>IF($B82&gt;$D$8,"",E82-F82)</f>
        <v/>
      </c>
      <c r="H82" s="39">
        <f>IF($B82&gt;$D$8,"",D82-G82)</f>
        <v/>
      </c>
    </row>
    <row r="83">
      <c r="B83" s="57" t="n">
        <v>71</v>
      </c>
      <c r="C83" s="58">
        <f>IF($B83&gt;$D$8,"",EDATE($D$9,$B83))</f>
        <v/>
      </c>
      <c r="D83" s="39">
        <f>IF($B83&gt;$D$8,"",H82)</f>
        <v/>
      </c>
      <c r="E83" s="39">
        <f>IF($B83&gt;$D$8,"",IF($B83=$D$8,D83+F83,$H$5))</f>
        <v/>
      </c>
      <c r="F83" s="39">
        <f>IF($B83&gt;$D$8,"",D83*$D$7/12)</f>
        <v/>
      </c>
      <c r="G83" s="39">
        <f>IF($B83&gt;$D$8,"",E83-F83)</f>
        <v/>
      </c>
      <c r="H83" s="39">
        <f>IF($B83&gt;$D$8,"",D83-G83)</f>
        <v/>
      </c>
    </row>
    <row r="84">
      <c r="B84" s="57" t="n">
        <v>72</v>
      </c>
      <c r="C84" s="58">
        <f>IF($B84&gt;$D$8,"",EDATE($D$9,$B84))</f>
        <v/>
      </c>
      <c r="D84" s="39">
        <f>IF($B84&gt;$D$8,"",H83)</f>
        <v/>
      </c>
      <c r="E84" s="39">
        <f>IF($B84&gt;$D$8,"",IF($B84=$D$8,D84+F84,$H$5))</f>
        <v/>
      </c>
      <c r="F84" s="39">
        <f>IF($B84&gt;$D$8,"",D84*$D$7/12)</f>
        <v/>
      </c>
      <c r="G84" s="39">
        <f>IF($B84&gt;$D$8,"",E84-F84)</f>
        <v/>
      </c>
      <c r="H84" s="39">
        <f>IF($B84&gt;$D$8,"",D84-G84)</f>
        <v/>
      </c>
    </row>
    <row r="85">
      <c r="B85" s="57" t="n">
        <v>73</v>
      </c>
      <c r="C85" s="58">
        <f>IF($B85&gt;$D$8,"",EDATE($D$9,$B85))</f>
        <v/>
      </c>
      <c r="D85" s="39">
        <f>IF($B85&gt;$D$8,"",H84)</f>
        <v/>
      </c>
      <c r="E85" s="39">
        <f>IF($B85&gt;$D$8,"",IF($B85=$D$8,D85+F85,$H$5))</f>
        <v/>
      </c>
      <c r="F85" s="39">
        <f>IF($B85&gt;$D$8,"",D85*$D$7/12)</f>
        <v/>
      </c>
      <c r="G85" s="39">
        <f>IF($B85&gt;$D$8,"",E85-F85)</f>
        <v/>
      </c>
      <c r="H85" s="39">
        <f>IF($B85&gt;$D$8,"",D85-G85)</f>
        <v/>
      </c>
    </row>
    <row r="86">
      <c r="B86" s="57" t="n">
        <v>74</v>
      </c>
      <c r="C86" s="58">
        <f>IF($B86&gt;$D$8,"",EDATE($D$9,$B86))</f>
        <v/>
      </c>
      <c r="D86" s="39">
        <f>IF($B86&gt;$D$8,"",H85)</f>
        <v/>
      </c>
      <c r="E86" s="39">
        <f>IF($B86&gt;$D$8,"",IF($B86=$D$8,D86+F86,$H$5))</f>
        <v/>
      </c>
      <c r="F86" s="39">
        <f>IF($B86&gt;$D$8,"",D86*$D$7/12)</f>
        <v/>
      </c>
      <c r="G86" s="39">
        <f>IF($B86&gt;$D$8,"",E86-F86)</f>
        <v/>
      </c>
      <c r="H86" s="39">
        <f>IF($B86&gt;$D$8,"",D86-G86)</f>
        <v/>
      </c>
    </row>
    <row r="87">
      <c r="B87" s="57" t="n">
        <v>75</v>
      </c>
      <c r="C87" s="58">
        <f>IF($B87&gt;$D$8,"",EDATE($D$9,$B87))</f>
        <v/>
      </c>
      <c r="D87" s="39">
        <f>IF($B87&gt;$D$8,"",H86)</f>
        <v/>
      </c>
      <c r="E87" s="39">
        <f>IF($B87&gt;$D$8,"",IF($B87=$D$8,D87+F87,$H$5))</f>
        <v/>
      </c>
      <c r="F87" s="39">
        <f>IF($B87&gt;$D$8,"",D87*$D$7/12)</f>
        <v/>
      </c>
      <c r="G87" s="39">
        <f>IF($B87&gt;$D$8,"",E87-F87)</f>
        <v/>
      </c>
      <c r="H87" s="39">
        <f>IF($B87&gt;$D$8,"",D87-G87)</f>
        <v/>
      </c>
    </row>
    <row r="88">
      <c r="B88" s="57" t="n">
        <v>76</v>
      </c>
      <c r="C88" s="58">
        <f>IF($B88&gt;$D$8,"",EDATE($D$9,$B88))</f>
        <v/>
      </c>
      <c r="D88" s="39">
        <f>IF($B88&gt;$D$8,"",H87)</f>
        <v/>
      </c>
      <c r="E88" s="39">
        <f>IF($B88&gt;$D$8,"",IF($B88=$D$8,D88+F88,$H$5))</f>
        <v/>
      </c>
      <c r="F88" s="39">
        <f>IF($B88&gt;$D$8,"",D88*$D$7/12)</f>
        <v/>
      </c>
      <c r="G88" s="39">
        <f>IF($B88&gt;$D$8,"",E88-F88)</f>
        <v/>
      </c>
      <c r="H88" s="39">
        <f>IF($B88&gt;$D$8,"",D88-G88)</f>
        <v/>
      </c>
    </row>
    <row r="89">
      <c r="B89" s="57" t="n">
        <v>77</v>
      </c>
      <c r="C89" s="58">
        <f>IF($B89&gt;$D$8,"",EDATE($D$9,$B89))</f>
        <v/>
      </c>
      <c r="D89" s="39">
        <f>IF($B89&gt;$D$8,"",H88)</f>
        <v/>
      </c>
      <c r="E89" s="39">
        <f>IF($B89&gt;$D$8,"",IF($B89=$D$8,D89+F89,$H$5))</f>
        <v/>
      </c>
      <c r="F89" s="39">
        <f>IF($B89&gt;$D$8,"",D89*$D$7/12)</f>
        <v/>
      </c>
      <c r="G89" s="39">
        <f>IF($B89&gt;$D$8,"",E89-F89)</f>
        <v/>
      </c>
      <c r="H89" s="39">
        <f>IF($B89&gt;$D$8,"",D89-G89)</f>
        <v/>
      </c>
    </row>
    <row r="90">
      <c r="B90" s="57" t="n">
        <v>78</v>
      </c>
      <c r="C90" s="58">
        <f>IF($B90&gt;$D$8,"",EDATE($D$9,$B90))</f>
        <v/>
      </c>
      <c r="D90" s="39">
        <f>IF($B90&gt;$D$8,"",H89)</f>
        <v/>
      </c>
      <c r="E90" s="39">
        <f>IF($B90&gt;$D$8,"",IF($B90=$D$8,D90+F90,$H$5))</f>
        <v/>
      </c>
      <c r="F90" s="39">
        <f>IF($B90&gt;$D$8,"",D90*$D$7/12)</f>
        <v/>
      </c>
      <c r="G90" s="39">
        <f>IF($B90&gt;$D$8,"",E90-F90)</f>
        <v/>
      </c>
      <c r="H90" s="39">
        <f>IF($B90&gt;$D$8,"",D90-G90)</f>
        <v/>
      </c>
    </row>
    <row r="91">
      <c r="B91" s="57" t="n">
        <v>79</v>
      </c>
      <c r="C91" s="58">
        <f>IF($B91&gt;$D$8,"",EDATE($D$9,$B91))</f>
        <v/>
      </c>
      <c r="D91" s="39">
        <f>IF($B91&gt;$D$8,"",H90)</f>
        <v/>
      </c>
      <c r="E91" s="39">
        <f>IF($B91&gt;$D$8,"",IF($B91=$D$8,D91+F91,$H$5))</f>
        <v/>
      </c>
      <c r="F91" s="39">
        <f>IF($B91&gt;$D$8,"",D91*$D$7/12)</f>
        <v/>
      </c>
      <c r="G91" s="39">
        <f>IF($B91&gt;$D$8,"",E91-F91)</f>
        <v/>
      </c>
      <c r="H91" s="39">
        <f>IF($B91&gt;$D$8,"",D91-G91)</f>
        <v/>
      </c>
    </row>
    <row r="92">
      <c r="B92" s="57" t="n">
        <v>80</v>
      </c>
      <c r="C92" s="58">
        <f>IF($B92&gt;$D$8,"",EDATE($D$9,$B92))</f>
        <v/>
      </c>
      <c r="D92" s="39">
        <f>IF($B92&gt;$D$8,"",H91)</f>
        <v/>
      </c>
      <c r="E92" s="39">
        <f>IF($B92&gt;$D$8,"",IF($B92=$D$8,D92+F92,$H$5))</f>
        <v/>
      </c>
      <c r="F92" s="39">
        <f>IF($B92&gt;$D$8,"",D92*$D$7/12)</f>
        <v/>
      </c>
      <c r="G92" s="39">
        <f>IF($B92&gt;$D$8,"",E92-F92)</f>
        <v/>
      </c>
      <c r="H92" s="39">
        <f>IF($B92&gt;$D$8,"",D92-G92)</f>
        <v/>
      </c>
    </row>
    <row r="93">
      <c r="B93" s="57" t="n">
        <v>81</v>
      </c>
      <c r="C93" s="58">
        <f>IF($B93&gt;$D$8,"",EDATE($D$9,$B93))</f>
        <v/>
      </c>
      <c r="D93" s="39">
        <f>IF($B93&gt;$D$8,"",H92)</f>
        <v/>
      </c>
      <c r="E93" s="39">
        <f>IF($B93&gt;$D$8,"",IF($B93=$D$8,D93+F93,$H$5))</f>
        <v/>
      </c>
      <c r="F93" s="39">
        <f>IF($B93&gt;$D$8,"",D93*$D$7/12)</f>
        <v/>
      </c>
      <c r="G93" s="39">
        <f>IF($B93&gt;$D$8,"",E93-F93)</f>
        <v/>
      </c>
      <c r="H93" s="39">
        <f>IF($B93&gt;$D$8,"",D93-G93)</f>
        <v/>
      </c>
    </row>
    <row r="94">
      <c r="B94" s="57" t="n">
        <v>82</v>
      </c>
      <c r="C94" s="58">
        <f>IF($B94&gt;$D$8,"",EDATE($D$9,$B94))</f>
        <v/>
      </c>
      <c r="D94" s="39">
        <f>IF($B94&gt;$D$8,"",H93)</f>
        <v/>
      </c>
      <c r="E94" s="39">
        <f>IF($B94&gt;$D$8,"",IF($B94=$D$8,D94+F94,$H$5))</f>
        <v/>
      </c>
      <c r="F94" s="39">
        <f>IF($B94&gt;$D$8,"",D94*$D$7/12)</f>
        <v/>
      </c>
      <c r="G94" s="39">
        <f>IF($B94&gt;$D$8,"",E94-F94)</f>
        <v/>
      </c>
      <c r="H94" s="39">
        <f>IF($B94&gt;$D$8,"",D94-G94)</f>
        <v/>
      </c>
    </row>
    <row r="95">
      <c r="B95" s="57" t="n">
        <v>83</v>
      </c>
      <c r="C95" s="58">
        <f>IF($B95&gt;$D$8,"",EDATE($D$9,$B95))</f>
        <v/>
      </c>
      <c r="D95" s="39">
        <f>IF($B95&gt;$D$8,"",H94)</f>
        <v/>
      </c>
      <c r="E95" s="39">
        <f>IF($B95&gt;$D$8,"",IF($B95=$D$8,D95+F95,$H$5))</f>
        <v/>
      </c>
      <c r="F95" s="39">
        <f>IF($B95&gt;$D$8,"",D95*$D$7/12)</f>
        <v/>
      </c>
      <c r="G95" s="39">
        <f>IF($B95&gt;$D$8,"",E95-F95)</f>
        <v/>
      </c>
      <c r="H95" s="39">
        <f>IF($B95&gt;$D$8,"",D95-G95)</f>
        <v/>
      </c>
    </row>
    <row r="96">
      <c r="B96" s="57" t="n">
        <v>84</v>
      </c>
      <c r="C96" s="58">
        <f>IF($B96&gt;$D$8,"",EDATE($D$9,$B96))</f>
        <v/>
      </c>
      <c r="D96" s="39">
        <f>IF($B96&gt;$D$8,"",H95)</f>
        <v/>
      </c>
      <c r="E96" s="39">
        <f>IF($B96&gt;$D$8,"",IF($B96=$D$8,D96+F96,$H$5))</f>
        <v/>
      </c>
      <c r="F96" s="39">
        <f>IF($B96&gt;$D$8,"",D96*$D$7/12)</f>
        <v/>
      </c>
      <c r="G96" s="39">
        <f>IF($B96&gt;$D$8,"",E96-F96)</f>
        <v/>
      </c>
      <c r="H96" s="39">
        <f>IF($B96&gt;$D$8,"",D96-G96)</f>
        <v/>
      </c>
    </row>
    <row r="97">
      <c r="B97" s="57" t="n">
        <v>85</v>
      </c>
      <c r="C97" s="58">
        <f>IF($B97&gt;$D$8,"",EDATE($D$9,$B97))</f>
        <v/>
      </c>
      <c r="D97" s="39">
        <f>IF($B97&gt;$D$8,"",H96)</f>
        <v/>
      </c>
      <c r="E97" s="39">
        <f>IF($B97&gt;$D$8,"",IF($B97=$D$8,D97+F97,$H$5))</f>
        <v/>
      </c>
      <c r="F97" s="39">
        <f>IF($B97&gt;$D$8,"",D97*$D$7/12)</f>
        <v/>
      </c>
      <c r="G97" s="39">
        <f>IF($B97&gt;$D$8,"",E97-F97)</f>
        <v/>
      </c>
      <c r="H97" s="39">
        <f>IF($B97&gt;$D$8,"",D97-G97)</f>
        <v/>
      </c>
    </row>
    <row r="98">
      <c r="B98" s="57" t="n">
        <v>86</v>
      </c>
      <c r="C98" s="58">
        <f>IF($B98&gt;$D$8,"",EDATE($D$9,$B98))</f>
        <v/>
      </c>
      <c r="D98" s="39">
        <f>IF($B98&gt;$D$8,"",H97)</f>
        <v/>
      </c>
      <c r="E98" s="39">
        <f>IF($B98&gt;$D$8,"",IF($B98=$D$8,D98+F98,$H$5))</f>
        <v/>
      </c>
      <c r="F98" s="39">
        <f>IF($B98&gt;$D$8,"",D98*$D$7/12)</f>
        <v/>
      </c>
      <c r="G98" s="39">
        <f>IF($B98&gt;$D$8,"",E98-F98)</f>
        <v/>
      </c>
      <c r="H98" s="39">
        <f>IF($B98&gt;$D$8,"",D98-G98)</f>
        <v/>
      </c>
    </row>
    <row r="99">
      <c r="B99" s="57" t="n">
        <v>87</v>
      </c>
      <c r="C99" s="58">
        <f>IF($B99&gt;$D$8,"",EDATE($D$9,$B99))</f>
        <v/>
      </c>
      <c r="D99" s="39">
        <f>IF($B99&gt;$D$8,"",H98)</f>
        <v/>
      </c>
      <c r="E99" s="39">
        <f>IF($B99&gt;$D$8,"",IF($B99=$D$8,D99+F99,$H$5))</f>
        <v/>
      </c>
      <c r="F99" s="39">
        <f>IF($B99&gt;$D$8,"",D99*$D$7/12)</f>
        <v/>
      </c>
      <c r="G99" s="39">
        <f>IF($B99&gt;$D$8,"",E99-F99)</f>
        <v/>
      </c>
      <c r="H99" s="39">
        <f>IF($B99&gt;$D$8,"",D99-G99)</f>
        <v/>
      </c>
    </row>
    <row r="100">
      <c r="B100" s="57" t="n">
        <v>88</v>
      </c>
      <c r="C100" s="58">
        <f>IF($B100&gt;$D$8,"",EDATE($D$9,$B100))</f>
        <v/>
      </c>
      <c r="D100" s="39">
        <f>IF($B100&gt;$D$8,"",H99)</f>
        <v/>
      </c>
      <c r="E100" s="39">
        <f>IF($B100&gt;$D$8,"",IF($B100=$D$8,D100+F100,$H$5))</f>
        <v/>
      </c>
      <c r="F100" s="39">
        <f>IF($B100&gt;$D$8,"",D100*$D$7/12)</f>
        <v/>
      </c>
      <c r="G100" s="39">
        <f>IF($B100&gt;$D$8,"",E100-F100)</f>
        <v/>
      </c>
      <c r="H100" s="39">
        <f>IF($B100&gt;$D$8,"",D100-G100)</f>
        <v/>
      </c>
    </row>
    <row r="101">
      <c r="B101" s="57" t="n">
        <v>89</v>
      </c>
      <c r="C101" s="58">
        <f>IF($B101&gt;$D$8,"",EDATE($D$9,$B101))</f>
        <v/>
      </c>
      <c r="D101" s="39">
        <f>IF($B101&gt;$D$8,"",H100)</f>
        <v/>
      </c>
      <c r="E101" s="39">
        <f>IF($B101&gt;$D$8,"",IF($B101=$D$8,D101+F101,$H$5))</f>
        <v/>
      </c>
      <c r="F101" s="39">
        <f>IF($B101&gt;$D$8,"",D101*$D$7/12)</f>
        <v/>
      </c>
      <c r="G101" s="39">
        <f>IF($B101&gt;$D$8,"",E101-F101)</f>
        <v/>
      </c>
      <c r="H101" s="39">
        <f>IF($B101&gt;$D$8,"",D101-G101)</f>
        <v/>
      </c>
    </row>
    <row r="102">
      <c r="B102" s="57" t="n">
        <v>90</v>
      </c>
      <c r="C102" s="58">
        <f>IF($B102&gt;$D$8,"",EDATE($D$9,$B102))</f>
        <v/>
      </c>
      <c r="D102" s="39">
        <f>IF($B102&gt;$D$8,"",H101)</f>
        <v/>
      </c>
      <c r="E102" s="39">
        <f>IF($B102&gt;$D$8,"",IF($B102=$D$8,D102+F102,$H$5))</f>
        <v/>
      </c>
      <c r="F102" s="39">
        <f>IF($B102&gt;$D$8,"",D102*$D$7/12)</f>
        <v/>
      </c>
      <c r="G102" s="39">
        <f>IF($B102&gt;$D$8,"",E102-F102)</f>
        <v/>
      </c>
      <c r="H102" s="39">
        <f>IF($B102&gt;$D$8,"",D102-G102)</f>
        <v/>
      </c>
    </row>
    <row r="103">
      <c r="B103" s="57" t="n">
        <v>91</v>
      </c>
      <c r="C103" s="58">
        <f>IF($B103&gt;$D$8,"",EDATE($D$9,$B103))</f>
        <v/>
      </c>
      <c r="D103" s="39">
        <f>IF($B103&gt;$D$8,"",H102)</f>
        <v/>
      </c>
      <c r="E103" s="39">
        <f>IF($B103&gt;$D$8,"",IF($B103=$D$8,D103+F103,$H$5))</f>
        <v/>
      </c>
      <c r="F103" s="39">
        <f>IF($B103&gt;$D$8,"",D103*$D$7/12)</f>
        <v/>
      </c>
      <c r="G103" s="39">
        <f>IF($B103&gt;$D$8,"",E103-F103)</f>
        <v/>
      </c>
      <c r="H103" s="39">
        <f>IF($B103&gt;$D$8,"",D103-G103)</f>
        <v/>
      </c>
    </row>
    <row r="104">
      <c r="B104" s="57" t="n">
        <v>92</v>
      </c>
      <c r="C104" s="58">
        <f>IF($B104&gt;$D$8,"",EDATE($D$9,$B104))</f>
        <v/>
      </c>
      <c r="D104" s="39">
        <f>IF($B104&gt;$D$8,"",H103)</f>
        <v/>
      </c>
      <c r="E104" s="39">
        <f>IF($B104&gt;$D$8,"",IF($B104=$D$8,D104+F104,$H$5))</f>
        <v/>
      </c>
      <c r="F104" s="39">
        <f>IF($B104&gt;$D$8,"",D104*$D$7/12)</f>
        <v/>
      </c>
      <c r="G104" s="39">
        <f>IF($B104&gt;$D$8,"",E104-F104)</f>
        <v/>
      </c>
      <c r="H104" s="39">
        <f>IF($B104&gt;$D$8,"",D104-G104)</f>
        <v/>
      </c>
    </row>
    <row r="105">
      <c r="B105" s="57" t="n">
        <v>93</v>
      </c>
      <c r="C105" s="58">
        <f>IF($B105&gt;$D$8,"",EDATE($D$9,$B105))</f>
        <v/>
      </c>
      <c r="D105" s="39">
        <f>IF($B105&gt;$D$8,"",H104)</f>
        <v/>
      </c>
      <c r="E105" s="39">
        <f>IF($B105&gt;$D$8,"",IF($B105=$D$8,D105+F105,$H$5))</f>
        <v/>
      </c>
      <c r="F105" s="39">
        <f>IF($B105&gt;$D$8,"",D105*$D$7/12)</f>
        <v/>
      </c>
      <c r="G105" s="39">
        <f>IF($B105&gt;$D$8,"",E105-F105)</f>
        <v/>
      </c>
      <c r="H105" s="39">
        <f>IF($B105&gt;$D$8,"",D105-G105)</f>
        <v/>
      </c>
    </row>
    <row r="106">
      <c r="B106" s="57" t="n">
        <v>94</v>
      </c>
      <c r="C106" s="58">
        <f>IF($B106&gt;$D$8,"",EDATE($D$9,$B106))</f>
        <v/>
      </c>
      <c r="D106" s="39">
        <f>IF($B106&gt;$D$8,"",H105)</f>
        <v/>
      </c>
      <c r="E106" s="39">
        <f>IF($B106&gt;$D$8,"",IF($B106=$D$8,D106+F106,$H$5))</f>
        <v/>
      </c>
      <c r="F106" s="39">
        <f>IF($B106&gt;$D$8,"",D106*$D$7/12)</f>
        <v/>
      </c>
      <c r="G106" s="39">
        <f>IF($B106&gt;$D$8,"",E106-F106)</f>
        <v/>
      </c>
      <c r="H106" s="39">
        <f>IF($B106&gt;$D$8,"",D106-G106)</f>
        <v/>
      </c>
    </row>
    <row r="107">
      <c r="B107" s="57" t="n">
        <v>95</v>
      </c>
      <c r="C107" s="58">
        <f>IF($B107&gt;$D$8,"",EDATE($D$9,$B107))</f>
        <v/>
      </c>
      <c r="D107" s="39">
        <f>IF($B107&gt;$D$8,"",H106)</f>
        <v/>
      </c>
      <c r="E107" s="39">
        <f>IF($B107&gt;$D$8,"",IF($B107=$D$8,D107+F107,$H$5))</f>
        <v/>
      </c>
      <c r="F107" s="39">
        <f>IF($B107&gt;$D$8,"",D107*$D$7/12)</f>
        <v/>
      </c>
      <c r="G107" s="39">
        <f>IF($B107&gt;$D$8,"",E107-F107)</f>
        <v/>
      </c>
      <c r="H107" s="39">
        <f>IF($B107&gt;$D$8,"",D107-G107)</f>
        <v/>
      </c>
    </row>
    <row r="108">
      <c r="B108" s="57" t="n">
        <v>96</v>
      </c>
      <c r="C108" s="58">
        <f>IF($B108&gt;$D$8,"",EDATE($D$9,$B108))</f>
        <v/>
      </c>
      <c r="D108" s="39">
        <f>IF($B108&gt;$D$8,"",H107)</f>
        <v/>
      </c>
      <c r="E108" s="39">
        <f>IF($B108&gt;$D$8,"",IF($B108=$D$8,D108+F108,$H$5))</f>
        <v/>
      </c>
      <c r="F108" s="39">
        <f>IF($B108&gt;$D$8,"",D108*$D$7/12)</f>
        <v/>
      </c>
      <c r="G108" s="39">
        <f>IF($B108&gt;$D$8,"",E108-F108)</f>
        <v/>
      </c>
      <c r="H108" s="39">
        <f>IF($B108&gt;$D$8,"",D108-G108)</f>
        <v/>
      </c>
    </row>
    <row r="109">
      <c r="B109" s="57" t="n">
        <v>97</v>
      </c>
      <c r="C109" s="58">
        <f>IF($B109&gt;$D$8,"",EDATE($D$9,$B109))</f>
        <v/>
      </c>
      <c r="D109" s="39">
        <f>IF($B109&gt;$D$8,"",H108)</f>
        <v/>
      </c>
      <c r="E109" s="39">
        <f>IF($B109&gt;$D$8,"",IF($B109=$D$8,D109+F109,$H$5))</f>
        <v/>
      </c>
      <c r="F109" s="39">
        <f>IF($B109&gt;$D$8,"",D109*$D$7/12)</f>
        <v/>
      </c>
      <c r="G109" s="39">
        <f>IF($B109&gt;$D$8,"",E109-F109)</f>
        <v/>
      </c>
      <c r="H109" s="39">
        <f>IF($B109&gt;$D$8,"",D109-G109)</f>
        <v/>
      </c>
    </row>
    <row r="110">
      <c r="B110" s="57" t="n">
        <v>98</v>
      </c>
      <c r="C110" s="58">
        <f>IF($B110&gt;$D$8,"",EDATE($D$9,$B110))</f>
        <v/>
      </c>
      <c r="D110" s="39">
        <f>IF($B110&gt;$D$8,"",H109)</f>
        <v/>
      </c>
      <c r="E110" s="39">
        <f>IF($B110&gt;$D$8,"",IF($B110=$D$8,D110+F110,$H$5))</f>
        <v/>
      </c>
      <c r="F110" s="39">
        <f>IF($B110&gt;$D$8,"",D110*$D$7/12)</f>
        <v/>
      </c>
      <c r="G110" s="39">
        <f>IF($B110&gt;$D$8,"",E110-F110)</f>
        <v/>
      </c>
      <c r="H110" s="39">
        <f>IF($B110&gt;$D$8,"",D110-G110)</f>
        <v/>
      </c>
    </row>
    <row r="111">
      <c r="B111" s="57" t="n">
        <v>99</v>
      </c>
      <c r="C111" s="58">
        <f>IF($B111&gt;$D$8,"",EDATE($D$9,$B111))</f>
        <v/>
      </c>
      <c r="D111" s="39">
        <f>IF($B111&gt;$D$8,"",H110)</f>
        <v/>
      </c>
      <c r="E111" s="39">
        <f>IF($B111&gt;$D$8,"",IF($B111=$D$8,D111+F111,$H$5))</f>
        <v/>
      </c>
      <c r="F111" s="39">
        <f>IF($B111&gt;$D$8,"",D111*$D$7/12)</f>
        <v/>
      </c>
      <c r="G111" s="39">
        <f>IF($B111&gt;$D$8,"",E111-F111)</f>
        <v/>
      </c>
      <c r="H111" s="39">
        <f>IF($B111&gt;$D$8,"",D111-G111)</f>
        <v/>
      </c>
    </row>
    <row r="112">
      <c r="B112" s="57" t="n">
        <v>100</v>
      </c>
      <c r="C112" s="58">
        <f>IF($B112&gt;$D$8,"",EDATE($D$9,$B112))</f>
        <v/>
      </c>
      <c r="D112" s="39">
        <f>IF($B112&gt;$D$8,"",H111)</f>
        <v/>
      </c>
      <c r="E112" s="39">
        <f>IF($B112&gt;$D$8,"",IF($B112=$D$8,D112+F112,$H$5))</f>
        <v/>
      </c>
      <c r="F112" s="39">
        <f>IF($B112&gt;$D$8,"",D112*$D$7/12)</f>
        <v/>
      </c>
      <c r="G112" s="39">
        <f>IF($B112&gt;$D$8,"",E112-F112)</f>
        <v/>
      </c>
      <c r="H112" s="39">
        <f>IF($B112&gt;$D$8,"",D112-G112)</f>
        <v/>
      </c>
    </row>
    <row r="113">
      <c r="B113" s="57" t="n">
        <v>101</v>
      </c>
      <c r="C113" s="58">
        <f>IF($B113&gt;$D$8,"",EDATE($D$9,$B113))</f>
        <v/>
      </c>
      <c r="D113" s="39">
        <f>IF($B113&gt;$D$8,"",H112)</f>
        <v/>
      </c>
      <c r="E113" s="39">
        <f>IF($B113&gt;$D$8,"",IF($B113=$D$8,D113+F113,$H$5))</f>
        <v/>
      </c>
      <c r="F113" s="39">
        <f>IF($B113&gt;$D$8,"",D113*$D$7/12)</f>
        <v/>
      </c>
      <c r="G113" s="39">
        <f>IF($B113&gt;$D$8,"",E113-F113)</f>
        <v/>
      </c>
      <c r="H113" s="39">
        <f>IF($B113&gt;$D$8,"",D113-G113)</f>
        <v/>
      </c>
    </row>
    <row r="114">
      <c r="B114" s="57" t="n">
        <v>102</v>
      </c>
      <c r="C114" s="58">
        <f>IF($B114&gt;$D$8,"",EDATE($D$9,$B114))</f>
        <v/>
      </c>
      <c r="D114" s="39">
        <f>IF($B114&gt;$D$8,"",H113)</f>
        <v/>
      </c>
      <c r="E114" s="39">
        <f>IF($B114&gt;$D$8,"",IF($B114=$D$8,D114+F114,$H$5))</f>
        <v/>
      </c>
      <c r="F114" s="39">
        <f>IF($B114&gt;$D$8,"",D114*$D$7/12)</f>
        <v/>
      </c>
      <c r="G114" s="39">
        <f>IF($B114&gt;$D$8,"",E114-F114)</f>
        <v/>
      </c>
      <c r="H114" s="39">
        <f>IF($B114&gt;$D$8,"",D114-G114)</f>
        <v/>
      </c>
    </row>
    <row r="115">
      <c r="B115" s="57" t="n">
        <v>103</v>
      </c>
      <c r="C115" s="58">
        <f>IF($B115&gt;$D$8,"",EDATE($D$9,$B115))</f>
        <v/>
      </c>
      <c r="D115" s="39">
        <f>IF($B115&gt;$D$8,"",H114)</f>
        <v/>
      </c>
      <c r="E115" s="39">
        <f>IF($B115&gt;$D$8,"",IF($B115=$D$8,D115+F115,$H$5))</f>
        <v/>
      </c>
      <c r="F115" s="39">
        <f>IF($B115&gt;$D$8,"",D115*$D$7/12)</f>
        <v/>
      </c>
      <c r="G115" s="39">
        <f>IF($B115&gt;$D$8,"",E115-F115)</f>
        <v/>
      </c>
      <c r="H115" s="39">
        <f>IF($B115&gt;$D$8,"",D115-G115)</f>
        <v/>
      </c>
    </row>
    <row r="116">
      <c r="B116" s="57" t="n">
        <v>104</v>
      </c>
      <c r="C116" s="58">
        <f>IF($B116&gt;$D$8,"",EDATE($D$9,$B116))</f>
        <v/>
      </c>
      <c r="D116" s="39">
        <f>IF($B116&gt;$D$8,"",H115)</f>
        <v/>
      </c>
      <c r="E116" s="39">
        <f>IF($B116&gt;$D$8,"",IF($B116=$D$8,D116+F116,$H$5))</f>
        <v/>
      </c>
      <c r="F116" s="39">
        <f>IF($B116&gt;$D$8,"",D116*$D$7/12)</f>
        <v/>
      </c>
      <c r="G116" s="39">
        <f>IF($B116&gt;$D$8,"",E116-F116)</f>
        <v/>
      </c>
      <c r="H116" s="39">
        <f>IF($B116&gt;$D$8,"",D116-G116)</f>
        <v/>
      </c>
    </row>
    <row r="117">
      <c r="B117" s="57" t="n">
        <v>105</v>
      </c>
      <c r="C117" s="58">
        <f>IF($B117&gt;$D$8,"",EDATE($D$9,$B117))</f>
        <v/>
      </c>
      <c r="D117" s="39">
        <f>IF($B117&gt;$D$8,"",H116)</f>
        <v/>
      </c>
      <c r="E117" s="39">
        <f>IF($B117&gt;$D$8,"",IF($B117=$D$8,D117+F117,$H$5))</f>
        <v/>
      </c>
      <c r="F117" s="39">
        <f>IF($B117&gt;$D$8,"",D117*$D$7/12)</f>
        <v/>
      </c>
      <c r="G117" s="39">
        <f>IF($B117&gt;$D$8,"",E117-F117)</f>
        <v/>
      </c>
      <c r="H117" s="39">
        <f>IF($B117&gt;$D$8,"",D117-G117)</f>
        <v/>
      </c>
    </row>
    <row r="118">
      <c r="B118" s="57" t="n">
        <v>106</v>
      </c>
      <c r="C118" s="58">
        <f>IF($B118&gt;$D$8,"",EDATE($D$9,$B118))</f>
        <v/>
      </c>
      <c r="D118" s="39">
        <f>IF($B118&gt;$D$8,"",H117)</f>
        <v/>
      </c>
      <c r="E118" s="39">
        <f>IF($B118&gt;$D$8,"",IF($B118=$D$8,D118+F118,$H$5))</f>
        <v/>
      </c>
      <c r="F118" s="39">
        <f>IF($B118&gt;$D$8,"",D118*$D$7/12)</f>
        <v/>
      </c>
      <c r="G118" s="39">
        <f>IF($B118&gt;$D$8,"",E118-F118)</f>
        <v/>
      </c>
      <c r="H118" s="39">
        <f>IF($B118&gt;$D$8,"",D118-G118)</f>
        <v/>
      </c>
    </row>
    <row r="119">
      <c r="B119" s="57" t="n">
        <v>107</v>
      </c>
      <c r="C119" s="58">
        <f>IF($B119&gt;$D$8,"",EDATE($D$9,$B119))</f>
        <v/>
      </c>
      <c r="D119" s="39">
        <f>IF($B119&gt;$D$8,"",H118)</f>
        <v/>
      </c>
      <c r="E119" s="39">
        <f>IF($B119&gt;$D$8,"",IF($B119=$D$8,D119+F119,$H$5))</f>
        <v/>
      </c>
      <c r="F119" s="39">
        <f>IF($B119&gt;$D$8,"",D119*$D$7/12)</f>
        <v/>
      </c>
      <c r="G119" s="39">
        <f>IF($B119&gt;$D$8,"",E119-F119)</f>
        <v/>
      </c>
      <c r="H119" s="39">
        <f>IF($B119&gt;$D$8,"",D119-G119)</f>
        <v/>
      </c>
    </row>
    <row r="120">
      <c r="B120" s="57" t="n">
        <v>108</v>
      </c>
      <c r="C120" s="58">
        <f>IF($B120&gt;$D$8,"",EDATE($D$9,$B120))</f>
        <v/>
      </c>
      <c r="D120" s="39">
        <f>IF($B120&gt;$D$8,"",H119)</f>
        <v/>
      </c>
      <c r="E120" s="39">
        <f>IF($B120&gt;$D$8,"",IF($B120=$D$8,D120+F120,$H$5))</f>
        <v/>
      </c>
      <c r="F120" s="39">
        <f>IF($B120&gt;$D$8,"",D120*$D$7/12)</f>
        <v/>
      </c>
      <c r="G120" s="39">
        <f>IF($B120&gt;$D$8,"",E120-F120)</f>
        <v/>
      </c>
      <c r="H120" s="39">
        <f>IF($B120&gt;$D$8,"",D120-G120)</f>
        <v/>
      </c>
    </row>
    <row r="121">
      <c r="B121" s="57" t="n">
        <v>109</v>
      </c>
      <c r="C121" s="58">
        <f>IF($B121&gt;$D$8,"",EDATE($D$9,$B121))</f>
        <v/>
      </c>
      <c r="D121" s="39">
        <f>IF($B121&gt;$D$8,"",H120)</f>
        <v/>
      </c>
      <c r="E121" s="39">
        <f>IF($B121&gt;$D$8,"",IF($B121=$D$8,D121+F121,$H$5))</f>
        <v/>
      </c>
      <c r="F121" s="39">
        <f>IF($B121&gt;$D$8,"",D121*$D$7/12)</f>
        <v/>
      </c>
      <c r="G121" s="39">
        <f>IF($B121&gt;$D$8,"",E121-F121)</f>
        <v/>
      </c>
      <c r="H121" s="39">
        <f>IF($B121&gt;$D$8,"",D121-G121)</f>
        <v/>
      </c>
    </row>
    <row r="122">
      <c r="B122" s="57" t="n">
        <v>110</v>
      </c>
      <c r="C122" s="58">
        <f>IF($B122&gt;$D$8,"",EDATE($D$9,$B122))</f>
        <v/>
      </c>
      <c r="D122" s="39">
        <f>IF($B122&gt;$D$8,"",H121)</f>
        <v/>
      </c>
      <c r="E122" s="39">
        <f>IF($B122&gt;$D$8,"",IF($B122=$D$8,D122+F122,$H$5))</f>
        <v/>
      </c>
      <c r="F122" s="39">
        <f>IF($B122&gt;$D$8,"",D122*$D$7/12)</f>
        <v/>
      </c>
      <c r="G122" s="39">
        <f>IF($B122&gt;$D$8,"",E122-F122)</f>
        <v/>
      </c>
      <c r="H122" s="39">
        <f>IF($B122&gt;$D$8,"",D122-G122)</f>
        <v/>
      </c>
    </row>
    <row r="123">
      <c r="B123" s="57" t="n">
        <v>111</v>
      </c>
      <c r="C123" s="58">
        <f>IF($B123&gt;$D$8,"",EDATE($D$9,$B123))</f>
        <v/>
      </c>
      <c r="D123" s="39">
        <f>IF($B123&gt;$D$8,"",H122)</f>
        <v/>
      </c>
      <c r="E123" s="39">
        <f>IF($B123&gt;$D$8,"",IF($B123=$D$8,D123+F123,$H$5))</f>
        <v/>
      </c>
      <c r="F123" s="39">
        <f>IF($B123&gt;$D$8,"",D123*$D$7/12)</f>
        <v/>
      </c>
      <c r="G123" s="39">
        <f>IF($B123&gt;$D$8,"",E123-F123)</f>
        <v/>
      </c>
      <c r="H123" s="39">
        <f>IF($B123&gt;$D$8,"",D123-G123)</f>
        <v/>
      </c>
    </row>
    <row r="124">
      <c r="B124" s="57" t="n">
        <v>112</v>
      </c>
      <c r="C124" s="58">
        <f>IF($B124&gt;$D$8,"",EDATE($D$9,$B124))</f>
        <v/>
      </c>
      <c r="D124" s="39">
        <f>IF($B124&gt;$D$8,"",H123)</f>
        <v/>
      </c>
      <c r="E124" s="39">
        <f>IF($B124&gt;$D$8,"",IF($B124=$D$8,D124+F124,$H$5))</f>
        <v/>
      </c>
      <c r="F124" s="39">
        <f>IF($B124&gt;$D$8,"",D124*$D$7/12)</f>
        <v/>
      </c>
      <c r="G124" s="39">
        <f>IF($B124&gt;$D$8,"",E124-F124)</f>
        <v/>
      </c>
      <c r="H124" s="39">
        <f>IF($B124&gt;$D$8,"",D124-G124)</f>
        <v/>
      </c>
    </row>
    <row r="125">
      <c r="B125" s="57" t="n">
        <v>113</v>
      </c>
      <c r="C125" s="58">
        <f>IF($B125&gt;$D$8,"",EDATE($D$9,$B125))</f>
        <v/>
      </c>
      <c r="D125" s="39">
        <f>IF($B125&gt;$D$8,"",H124)</f>
        <v/>
      </c>
      <c r="E125" s="39">
        <f>IF($B125&gt;$D$8,"",IF($B125=$D$8,D125+F125,$H$5))</f>
        <v/>
      </c>
      <c r="F125" s="39">
        <f>IF($B125&gt;$D$8,"",D125*$D$7/12)</f>
        <v/>
      </c>
      <c r="G125" s="39">
        <f>IF($B125&gt;$D$8,"",E125-F125)</f>
        <v/>
      </c>
      <c r="H125" s="39">
        <f>IF($B125&gt;$D$8,"",D125-G125)</f>
        <v/>
      </c>
    </row>
    <row r="126">
      <c r="B126" s="57" t="n">
        <v>114</v>
      </c>
      <c r="C126" s="58">
        <f>IF($B126&gt;$D$8,"",EDATE($D$9,$B126))</f>
        <v/>
      </c>
      <c r="D126" s="39">
        <f>IF($B126&gt;$D$8,"",H125)</f>
        <v/>
      </c>
      <c r="E126" s="39">
        <f>IF($B126&gt;$D$8,"",IF($B126=$D$8,D126+F126,$H$5))</f>
        <v/>
      </c>
      <c r="F126" s="39">
        <f>IF($B126&gt;$D$8,"",D126*$D$7/12)</f>
        <v/>
      </c>
      <c r="G126" s="39">
        <f>IF($B126&gt;$D$8,"",E126-F126)</f>
        <v/>
      </c>
      <c r="H126" s="39">
        <f>IF($B126&gt;$D$8,"",D126-G126)</f>
        <v/>
      </c>
    </row>
    <row r="127">
      <c r="B127" s="57" t="n">
        <v>115</v>
      </c>
      <c r="C127" s="58">
        <f>IF($B127&gt;$D$8,"",EDATE($D$9,$B127))</f>
        <v/>
      </c>
      <c r="D127" s="39">
        <f>IF($B127&gt;$D$8,"",H126)</f>
        <v/>
      </c>
      <c r="E127" s="39">
        <f>IF($B127&gt;$D$8,"",IF($B127=$D$8,D127+F127,$H$5))</f>
        <v/>
      </c>
      <c r="F127" s="39">
        <f>IF($B127&gt;$D$8,"",D127*$D$7/12)</f>
        <v/>
      </c>
      <c r="G127" s="39">
        <f>IF($B127&gt;$D$8,"",E127-F127)</f>
        <v/>
      </c>
      <c r="H127" s="39">
        <f>IF($B127&gt;$D$8,"",D127-G127)</f>
        <v/>
      </c>
    </row>
    <row r="128">
      <c r="B128" s="57" t="n">
        <v>116</v>
      </c>
      <c r="C128" s="58">
        <f>IF($B128&gt;$D$8,"",EDATE($D$9,$B128))</f>
        <v/>
      </c>
      <c r="D128" s="39">
        <f>IF($B128&gt;$D$8,"",H127)</f>
        <v/>
      </c>
      <c r="E128" s="39">
        <f>IF($B128&gt;$D$8,"",IF($B128=$D$8,D128+F128,$H$5))</f>
        <v/>
      </c>
      <c r="F128" s="39">
        <f>IF($B128&gt;$D$8,"",D128*$D$7/12)</f>
        <v/>
      </c>
      <c r="G128" s="39">
        <f>IF($B128&gt;$D$8,"",E128-F128)</f>
        <v/>
      </c>
      <c r="H128" s="39">
        <f>IF($B128&gt;$D$8,"",D128-G128)</f>
        <v/>
      </c>
    </row>
    <row r="129">
      <c r="B129" s="57" t="n">
        <v>117</v>
      </c>
      <c r="C129" s="58">
        <f>IF($B129&gt;$D$8,"",EDATE($D$9,$B129))</f>
        <v/>
      </c>
      <c r="D129" s="39">
        <f>IF($B129&gt;$D$8,"",H128)</f>
        <v/>
      </c>
      <c r="E129" s="39">
        <f>IF($B129&gt;$D$8,"",IF($B129=$D$8,D129+F129,$H$5))</f>
        <v/>
      </c>
      <c r="F129" s="39">
        <f>IF($B129&gt;$D$8,"",D129*$D$7/12)</f>
        <v/>
      </c>
      <c r="G129" s="39">
        <f>IF($B129&gt;$D$8,"",E129-F129)</f>
        <v/>
      </c>
      <c r="H129" s="39">
        <f>IF($B129&gt;$D$8,"",D129-G129)</f>
        <v/>
      </c>
    </row>
    <row r="130">
      <c r="B130" s="57" t="n">
        <v>118</v>
      </c>
      <c r="C130" s="58">
        <f>IF($B130&gt;$D$8,"",EDATE($D$9,$B130))</f>
        <v/>
      </c>
      <c r="D130" s="39">
        <f>IF($B130&gt;$D$8,"",H129)</f>
        <v/>
      </c>
      <c r="E130" s="39">
        <f>IF($B130&gt;$D$8,"",IF($B130=$D$8,D130+F130,$H$5))</f>
        <v/>
      </c>
      <c r="F130" s="39">
        <f>IF($B130&gt;$D$8,"",D130*$D$7/12)</f>
        <v/>
      </c>
      <c r="G130" s="39">
        <f>IF($B130&gt;$D$8,"",E130-F130)</f>
        <v/>
      </c>
      <c r="H130" s="39">
        <f>IF($B130&gt;$D$8,"",D130-G130)</f>
        <v/>
      </c>
    </row>
    <row r="131">
      <c r="B131" s="57" t="n">
        <v>119</v>
      </c>
      <c r="C131" s="58">
        <f>IF($B131&gt;$D$8,"",EDATE($D$9,$B131))</f>
        <v/>
      </c>
      <c r="D131" s="39">
        <f>IF($B131&gt;$D$8,"",H130)</f>
        <v/>
      </c>
      <c r="E131" s="39">
        <f>IF($B131&gt;$D$8,"",IF($B131=$D$8,D131+F131,$H$5))</f>
        <v/>
      </c>
      <c r="F131" s="39">
        <f>IF($B131&gt;$D$8,"",D131*$D$7/12)</f>
        <v/>
      </c>
      <c r="G131" s="39">
        <f>IF($B131&gt;$D$8,"",E131-F131)</f>
        <v/>
      </c>
      <c r="H131" s="39">
        <f>IF($B131&gt;$D$8,"",D131-G131)</f>
        <v/>
      </c>
    </row>
    <row r="132">
      <c r="B132" s="57" t="n">
        <v>120</v>
      </c>
      <c r="C132" s="58">
        <f>IF($B132&gt;$D$8,"",EDATE($D$9,$B132))</f>
        <v/>
      </c>
      <c r="D132" s="39">
        <f>IF($B132&gt;$D$8,"",H131)</f>
        <v/>
      </c>
      <c r="E132" s="39">
        <f>IF($B132&gt;$D$8,"",IF($B132=$D$8,D132+F132,$H$5))</f>
        <v/>
      </c>
      <c r="F132" s="39">
        <f>IF($B132&gt;$D$8,"",D132*$D$7/12)</f>
        <v/>
      </c>
      <c r="G132" s="39">
        <f>IF($B132&gt;$D$8,"",E132-F132)</f>
        <v/>
      </c>
      <c r="H132" s="39">
        <f>IF($B132&gt;$D$8,"",D132-G132)</f>
        <v/>
      </c>
    </row>
    <row r="133">
      <c r="B133" s="25" t="inlineStr">
        <is>
          <t>Total</t>
        </is>
      </c>
      <c r="C133" s="25" t="n"/>
      <c r="D133" s="25" t="n"/>
      <c r="E133" s="26">
        <f>SUM(E13:E132)</f>
        <v>597241.016974421</v>
      </c>
      <c r="F133" s="26">
        <f>SUM(F13:F132)</f>
        <v>97241.016974421</v>
      </c>
      <c r="G133" s="26">
        <f>SUM(G13:G132)</f>
        <v>500000</v>
      </c>
      <c r="H133" s="25" t="n"/>
    </row>
    <row r="134">
      <c r="B134" s="19" t="inlineStr">
        <is>
          <t>Check: principal repaid = amount borrowed</t>
        </is>
      </c>
      <c r="G134" s="60" t="str">
        <f>IF(ROUND(G133-$D$6,2)=0,"OK","CHECK")</f>
        <v>OK</v>
      </c>
    </row>
    <row r="136">
      <c r="B136" s="16" t="inlineStr">
        <is>
          <t>Example figures are made up for illustration. Not financial, tax or legal advice.</t>
        </is>
      </c>
    </row>
    <row r="137">
      <c r="B137" s="17" t="inlineStr">
        <is>
          <t>axcellservice.com · Free template · Book a free 30-minute consultation: axcellservice.com/contact</t>
        </is>
      </c>
    </row>
  </sheetData>
  <mergeCells count="11">
    <mergeCell ref="B6:C6"/>
    <mergeCell ref="B7:C7"/>
    <mergeCell ref="B5:C5"/>
    <mergeCell ref="F5:G5"/>
    <mergeCell ref="J6:N7"/>
    <mergeCell ref="F6:G6"/>
    <mergeCell ref="B9:C9"/>
    <mergeCell ref="B8:C8"/>
    <mergeCell ref="F9:G9"/>
    <mergeCell ref="F7:G7"/>
    <mergeCell ref="F8:G8"/>
  </mergeCells>
  <conditionalFormatting sqref="G134">
    <cfRule type="expression" priority="1" dxfId="0">
      <formula>LEFT(G134,5)="CHECK"</formula>
    </cfRule>
    <cfRule type="cellIs" priority="2" operator="equal" dxfId="1">
      <formula>"OK"</formula>
    </cfRule>
  </conditionalFormatting>
  <conditionalFormatting sqref="N34">
    <cfRule type="expression" priority="3" dxfId="0">
      <formula>LEFT(N34,5)="CHECK"</formula>
    </cfRule>
    <cfRule type="cellIs" priority="4" operator="equal" dxfId="1">
      <formula>"OK"</formula>
    </cfRule>
  </conditionalFormatting>
  <dataValidations count="4">
    <dataValidation sqref="D6" showDropDown="0" showInputMessage="0" showErrorMessage="1" allowBlank="0" errorTitle="Amount" error="Enter the amount borrowed." type="decimal" operator="greaterThanOrEqual">
      <formula1>0</formula1>
    </dataValidation>
    <dataValidation sqref="D7" showDropDown="0" showInputMessage="0" showErrorMessage="1" allowBlank="0" errorTitle="Rate" error="Enter the annual rate, e.g. 9%." type="decimal" operator="between">
      <formula1>0</formula1>
      <formula2>1</formula2>
    </dataValidation>
    <dataValidation sqref="D8" showDropDown="0" showInputMessage="0" showErrorMessage="1" allowBlank="0" errorTitle="Term" error="Enter the term in months, from 1 to 120." type="whole" operator="between">
      <formula1>1</formula1>
      <formula2>120</formula2>
    </dataValidation>
    <dataValidation sqref="D9" showDropDown="0" showInputMessage="0" showErrorMessage="1" allowBlank="0" errorTitle="Date" error="Enter the drawdown date, e.g. 01/03/2026." type="date" operator="greaterThan">
      <formula1>36526</formula1>
    </dataValidation>
  </dataValidations>
  <printOptions horizontalCentered="1"/>
  <pageMargins left="0.4" right="0.4" top="1" bottom="1" header="0.5" footer="0.5"/>
  <pageSetup orientation="landscape" paperSize="9" fitToHeight="0" fitToWidth="1"/>
  <headerFooter>
    <oddHeader/>
    <oddFooter>&amp;L&amp;8 Axcell Financial Consulting · axcellservice.com · Free template&amp;R&amp;8 Page &amp;P of &amp;N</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Axcell Financial Consulting</dc:creator>
  <dc:title xmlns:dc="http://purl.org/dc/elements/1.1/">Fixed Assets, Depreciation &amp; Loan Schedule</dc:title>
  <dcterms:created xmlns:dcterms="http://purl.org/dc/terms/" xmlns:xsi="http://www.w3.org/2001/XMLSchema-instance" xsi:type="dcterms:W3CDTF">2026-11-05T09:07:48Z</dcterms:created>
  <dcterms:modified xmlns:dcterms="http://purl.org/dc/terms/" xmlns:xsi="http://www.w3.org/2001/XMLSchema-instance" xsi:type="dcterms:W3CDTF">2026-11-05T09:07:48Z</dcterms:modified>
</cp:coreProperties>
</file>