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Summary" sheetId="2" state="visible" r:id="rId2"/>
    <sheet xmlns:r="http://schemas.openxmlformats.org/officeDocument/2006/relationships" name="Stock register" sheetId="3" state="visible" r:id="rId3"/>
  </sheets>
  <definedNames>
    <definedName name="_xlnm.Print_Area" localSheetId="1">'Summary'!$A$1:$I$45</definedName>
    <definedName name="_xlnm._FilterDatabase" localSheetId="2" hidden="1">'Stock register'!$B$5:$X$45</definedName>
    <definedName name="_xlnm.Print_Titles" localSheetId="2">'Stock register'!$5:$5</definedName>
    <definedName name="_xlnm.Print_Area" localSheetId="2">'Stock register'!$A$1:$X$49</definedName>
  </definedNames>
  <calcPr calcId="124519" fullCalcOnLoad="1"/>
</workbook>
</file>

<file path=xl/styles.xml><?xml version="1.0" encoding="utf-8"?>
<styleSheet xmlns="http://schemas.openxmlformats.org/spreadsheetml/2006/main">
  <numFmts count="8">
    <numFmt numFmtId="164" formatCode="yyyy-mm-dd"/>
    <numFmt numFmtId="165" formatCode="dd mmm yyyy"/>
    <numFmt numFmtId="166" formatCode="0.0"/>
    <numFmt numFmtId="167" formatCode="#,##0;(#,##0);&quot;0&quot;"/>
    <numFmt numFmtId="168" formatCode="#,##0.00;(#,##0.00);&quot;-&quot;"/>
    <numFmt numFmtId="169" formatCode="#,##0;(#,##0);&quot;-&quot;"/>
    <numFmt numFmtId="170" formatCode="#,##0.0;(#,##0.0);&quot;0&quot;"/>
    <numFmt numFmtId="171" formatCode="0.0%;(0.0%);&quot;-&quot;"/>
  </numFmts>
  <fonts count="15">
    <font>
      <name val="Calibri"/>
      <family val="2"/>
      <color theme="1"/>
      <sz val="11"/>
      <scheme val="minor"/>
    </font>
    <font>
      <name val="Arial"/>
      <b val="1"/>
      <color rgb="00CC1923"/>
      <sz val="18"/>
    </font>
    <font>
      <name val="Arial"/>
      <b val="1"/>
      <color rgb="00111111"/>
      <sz val="11"/>
    </font>
    <font>
      <name val="Arial"/>
      <i val="1"/>
      <color rgb="00666666"/>
      <sz val="10"/>
    </font>
    <font>
      <name val="Arial"/>
      <b val="1"/>
      <color rgb="00FFFFFF"/>
    </font>
    <font>
      <name val="Arial"/>
      <b val="1"/>
    </font>
    <font>
      <name val="Arial"/>
    </font>
    <font>
      <name val="Arial"/>
      <color rgb="000000FF"/>
    </font>
    <font>
      <name val="Arial"/>
      <b val="1"/>
      <color rgb="007A4B00"/>
    </font>
    <font>
      <name val="Arial"/>
      <color rgb="00666666"/>
      <sz val="9"/>
    </font>
    <font>
      <name val="Arial"/>
      <i val="1"/>
      <color rgb="00666666"/>
      <sz val="9"/>
    </font>
    <font>
      <name val="Arial"/>
      <b val="1"/>
      <color rgb="00CC1923"/>
      <sz val="9"/>
    </font>
    <font>
      <name val="Arial"/>
      <b val="1"/>
      <color rgb="00CC1923"/>
      <sz val="16"/>
    </font>
    <font>
      <name val="Arial"/>
      <b val="1"/>
      <color rgb="00CC1923"/>
    </font>
    <font>
      <name val="Arial"/>
      <b val="1"/>
      <sz val="9"/>
    </font>
  </fonts>
  <fills count="8">
    <fill>
      <patternFill/>
    </fill>
    <fill>
      <patternFill patternType="gray125"/>
    </fill>
    <fill>
      <patternFill patternType="solid">
        <fgColor rgb="00111111"/>
      </patternFill>
    </fill>
    <fill>
      <patternFill patternType="solid">
        <fgColor rgb="00FFFF99"/>
      </patternFill>
    </fill>
    <fill>
      <patternFill patternType="solid">
        <fgColor rgb="00CC1923"/>
      </patternFill>
    </fill>
    <fill>
      <patternFill patternType="solid">
        <fgColor rgb="00FCE4B6"/>
      </patternFill>
    </fill>
    <fill>
      <patternFill patternType="solid">
        <fgColor rgb="00444444"/>
      </patternFill>
    </fill>
    <fill>
      <patternFill patternType="solid">
        <fgColor rgb="00F0EEEA"/>
      </patternFill>
    </fill>
  </fills>
  <borders count="3">
    <border>
      <left/>
      <right/>
      <top/>
      <bottom/>
      <diagonal/>
    </border>
    <border>
      <bottom style="thin">
        <color rgb="00BFBFBF"/>
      </bottom>
    </border>
    <border>
      <top style="thin">
        <color rgb="00111111"/>
      </top>
      <bottom style="thin">
        <color rgb="00BFBFBF"/>
      </bottom>
    </border>
  </borders>
  <cellStyleXfs count="1">
    <xf numFmtId="0" fontId="0" fillId="0" borderId="0"/>
  </cellStyleXfs>
  <cellXfs count="5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pivotButton="0" quotePrefix="0" xfId="0"/>
    <xf numFmtId="0" fontId="0" fillId="2" borderId="0" pivotButton="0" quotePrefix="0" xfId="0"/>
    <xf numFmtId="0" fontId="5" fillId="0" borderId="0" applyAlignment="1" pivotButton="0" quotePrefix="0" xfId="0">
      <alignment vertical="top"/>
    </xf>
    <xf numFmtId="0" fontId="6" fillId="0" borderId="0" applyAlignment="1" pivotButton="0" quotePrefix="0" xfId="0">
      <alignment vertical="top" wrapText="1"/>
    </xf>
    <xf numFmtId="0" fontId="7" fillId="3" borderId="0" applyAlignment="1" pivotButton="0" quotePrefix="0" xfId="0">
      <alignment horizontal="center"/>
    </xf>
    <xf numFmtId="0" fontId="6" fillId="0" borderId="0" pivotButton="0" quotePrefix="0" xfId="0"/>
    <xf numFmtId="0" fontId="6" fillId="0" borderId="0" applyAlignment="1" pivotButton="0" quotePrefix="0" xfId="0">
      <alignment horizontal="center"/>
    </xf>
    <xf numFmtId="0" fontId="4" fillId="4" borderId="0" applyAlignment="1" pivotButton="0" quotePrefix="0" xfId="0">
      <alignment horizontal="center"/>
    </xf>
    <xf numFmtId="0" fontId="8" fillId="5" borderId="0" applyAlignment="1" pivotButton="0" quotePrefix="0" xfId="0">
      <alignment horizontal="center"/>
    </xf>
    <xf numFmtId="0" fontId="6" fillId="0" borderId="1" applyAlignment="1" pivotButton="0" quotePrefix="0" xfId="0">
      <alignment vertical="top"/>
    </xf>
    <xf numFmtId="0" fontId="7" fillId="3" borderId="1" applyAlignment="1" pivotButton="0" quotePrefix="0" xfId="0">
      <alignment horizontal="left" vertical="top"/>
    </xf>
    <xf numFmtId="0" fontId="9" fillId="0" borderId="1" applyAlignment="1" pivotButton="0" quotePrefix="0" xfId="0">
      <alignment vertical="top" wrapText="1"/>
    </xf>
    <xf numFmtId="165" fontId="7" fillId="3" borderId="1" applyAlignment="1" pivotButton="0" quotePrefix="0" xfId="0">
      <alignment horizontal="left" vertical="top"/>
    </xf>
    <xf numFmtId="166" fontId="7" fillId="3" borderId="1" applyAlignment="1" pivotButton="0" quotePrefix="0" xfId="0">
      <alignment horizontal="left" vertical="top"/>
    </xf>
    <xf numFmtId="1" fontId="7" fillId="3" borderId="1" applyAlignment="1" pivotButton="0" quotePrefix="0" xfId="0">
      <alignment horizontal="left" vertical="top"/>
    </xf>
    <xf numFmtId="0" fontId="10" fillId="0" borderId="0" pivotButton="0" quotePrefix="0" xfId="0"/>
    <xf numFmtId="0" fontId="11" fillId="0" borderId="0" pivotButton="0" quotePrefix="0" xfId="0"/>
    <xf numFmtId="0" fontId="12" fillId="0" borderId="0" pivotButton="0" quotePrefix="0" xfId="0"/>
    <xf numFmtId="0" fontId="9" fillId="0" borderId="0" pivotButton="0" quotePrefix="0" xfId="0"/>
    <xf numFmtId="0" fontId="13" fillId="0" borderId="0" pivotButton="0" quotePrefix="0" xfId="0"/>
    <xf numFmtId="0" fontId="6" fillId="0" borderId="1" pivotButton="0" quotePrefix="0" xfId="0"/>
    <xf numFmtId="169" fontId="5" fillId="0" borderId="1" applyAlignment="1" pivotButton="0" quotePrefix="0" xfId="0">
      <alignment horizontal="right"/>
    </xf>
    <xf numFmtId="0" fontId="0" fillId="0" borderId="1" pivotButton="0" quotePrefix="0" xfId="0"/>
    <xf numFmtId="1" fontId="5" fillId="0" borderId="1" applyAlignment="1" pivotButton="0" quotePrefix="0" xfId="0">
      <alignment horizontal="right"/>
    </xf>
    <xf numFmtId="171" fontId="5" fillId="0" borderId="1" applyAlignment="1" pivotButton="0" quotePrefix="0" xfId="0">
      <alignment horizontal="right"/>
    </xf>
    <xf numFmtId="166" fontId="5" fillId="0" borderId="1" applyAlignment="1" pivotButton="0" quotePrefix="0" xfId="0">
      <alignment horizontal="right"/>
    </xf>
    <xf numFmtId="0" fontId="5" fillId="0" borderId="2" applyAlignment="1" pivotButton="0" quotePrefix="0" xfId="0">
      <alignment horizontal="left" wrapText="1"/>
    </xf>
    <xf numFmtId="0" fontId="5" fillId="0" borderId="2" applyAlignment="1" pivotButton="0" quotePrefix="0" xfId="0">
      <alignment horizontal="center" wrapText="1"/>
    </xf>
    <xf numFmtId="1" fontId="0" fillId="0" borderId="1" pivotButton="0" quotePrefix="0" xfId="0"/>
    <xf numFmtId="169" fontId="0" fillId="0" borderId="1" pivotButton="0" quotePrefix="0" xfId="0"/>
    <xf numFmtId="171" fontId="0" fillId="0" borderId="1" pivotButton="0" quotePrefix="0" xfId="0"/>
    <xf numFmtId="0" fontId="5" fillId="7" borderId="2" pivotButton="0" quotePrefix="0" xfId="0"/>
    <xf numFmtId="1" fontId="5" fillId="7" borderId="2" pivotButton="0" quotePrefix="0" xfId="0"/>
    <xf numFmtId="169" fontId="5" fillId="7" borderId="2" pivotButton="0" quotePrefix="0" xfId="0"/>
    <xf numFmtId="171" fontId="5" fillId="7" borderId="2" pivotButton="0" quotePrefix="0" xfId="0"/>
    <xf numFmtId="0" fontId="14" fillId="0" borderId="0" pivotButton="0" quotePrefix="0" xfId="0"/>
    <xf numFmtId="0" fontId="4" fillId="2" borderId="0" applyAlignment="1" pivotButton="0" quotePrefix="0" xfId="0">
      <alignment horizontal="center" vertical="center" wrapText="1"/>
    </xf>
    <xf numFmtId="0" fontId="4" fillId="6" borderId="0" applyAlignment="1" pivotButton="0" quotePrefix="0" xfId="0">
      <alignment horizontal="center" vertical="center" wrapText="1"/>
    </xf>
    <xf numFmtId="0" fontId="7" fillId="3" borderId="1" pivotButton="0" quotePrefix="0" xfId="0"/>
    <xf numFmtId="167" fontId="7" fillId="3" borderId="1" pivotButton="0" quotePrefix="0" xfId="0"/>
    <xf numFmtId="168" fontId="7" fillId="3" borderId="1" pivotButton="0" quotePrefix="0" xfId="0"/>
    <xf numFmtId="167" fontId="6" fillId="0" borderId="1" pivotButton="0" quotePrefix="0" xfId="0"/>
    <xf numFmtId="168" fontId="6" fillId="0" borderId="1" pivotButton="0" quotePrefix="0" xfId="0"/>
    <xf numFmtId="169" fontId="5" fillId="0" borderId="1" pivotButton="0" quotePrefix="0" xfId="0"/>
    <xf numFmtId="169" fontId="6" fillId="0" borderId="1" pivotButton="0" quotePrefix="0" xfId="0"/>
    <xf numFmtId="170" fontId="6" fillId="0" borderId="1" pivotButton="0" quotePrefix="0" xfId="0"/>
    <xf numFmtId="3" fontId="6" fillId="0" borderId="1" applyAlignment="1" pivotButton="0" quotePrefix="0" xfId="0">
      <alignment horizontal="center"/>
    </xf>
    <xf numFmtId="1" fontId="7" fillId="3" borderId="1" pivotButton="0" quotePrefix="0" xfId="0"/>
    <xf numFmtId="0" fontId="6" fillId="0" borderId="1" applyAlignment="1" pivotButton="0" quotePrefix="0" xfId="0">
      <alignment horizontal="center"/>
    </xf>
    <xf numFmtId="165" fontId="7" fillId="3" borderId="1" pivotButton="0" quotePrefix="0" xfId="0"/>
    <xf numFmtId="0" fontId="5" fillId="7" borderId="2" applyAlignment="1" pivotButton="0" quotePrefix="0" xfId="0">
      <alignment horizontal="center"/>
    </xf>
  </cellXfs>
  <cellStyles count="1">
    <cellStyle name="Normal" xfId="0" builtinId="0" hidden="0"/>
  </cellStyles>
  <dxfs count="5">
    <dxf>
      <font>
        <name val="Arial"/>
        <b val="1"/>
        <color rgb="00FFFFFF"/>
      </font>
      <fill>
        <patternFill patternType="solid">
          <fgColor rgb="00CC1923"/>
        </patternFill>
      </fill>
    </dxf>
    <dxf>
      <font>
        <name val="Arial"/>
        <b val="1"/>
        <color rgb="007A4B00"/>
      </font>
      <fill>
        <patternFill patternType="solid">
          <fgColor rgb="00FCE4B6"/>
        </patternFill>
      </fill>
    </dxf>
    <dxf>
      <font>
        <name val="Arial"/>
        <b val="1"/>
        <color rgb="001E7B34"/>
        <sz val="9"/>
      </font>
    </dxf>
    <dxf>
      <font>
        <name val="Arial"/>
        <b val="1"/>
        <color rgb="00CC1923"/>
      </font>
      <fill>
        <patternFill patternType="solid">
          <fgColor rgb="00F8D7DA"/>
        </patternFill>
      </fill>
    </dxf>
    <dxf>
      <font>
        <name val="Arial"/>
        <b val="1"/>
        <color rgb="00CC1923"/>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Stock value by category</a:t>
            </a:r>
          </a:p>
        </rich>
      </tx>
    </title>
    <plotArea>
      <barChart>
        <barDir val="bar"/>
        <grouping val="clustered"/>
        <ser>
          <idx val="0"/>
          <order val="0"/>
          <tx>
            <strRef>
              <f>'Summary'!D18</f>
            </strRef>
          </tx>
          <spPr>
            <a:solidFill xmlns:a="http://schemas.openxmlformats.org/drawingml/2006/main">
              <a:srgbClr val="111111"/>
            </a:solidFill>
            <a:ln xmlns:a="http://schemas.openxmlformats.org/drawingml/2006/main">
              <a:prstDash val="solid"/>
            </a:ln>
          </spPr>
          <cat>
            <numRef>
              <f>'Summary'!$B$19:$B$24</f>
            </numRef>
          </cat>
          <val>
            <numRef>
              <f>'Summary'!$D$19:$D$24</f>
            </numRef>
          </val>
        </ser>
        <ser>
          <idx val="1"/>
          <order val="1"/>
          <tx>
            <strRef>
              <f>'Summary'!G18</f>
            </strRef>
          </tx>
          <spPr>
            <a:solidFill xmlns:a="http://schemas.openxmlformats.org/drawingml/2006/main">
              <a:srgbClr val="CC1923"/>
            </a:solidFill>
            <a:ln xmlns:a="http://schemas.openxmlformats.org/drawingml/2006/main">
              <a:prstDash val="solid"/>
            </a:ln>
          </spPr>
          <cat>
            <numRef>
              <f>'Summary'!$B$19:$B$24</f>
            </numRef>
          </cat>
          <val>
            <numRef>
              <f>'Summary'!$G$19:$G$24</f>
            </numRef>
          </val>
        </ser>
        <gapWidth val="150"/>
        <axId val="10"/>
        <axId val="100"/>
      </barChart>
      <catAx>
        <axId val="10"/>
        <scaling>
          <orientation val="maxMin"/>
        </scaling>
        <delete val="0"/>
        <axPos val="l"/>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b"/>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1</col>
      <colOff>0</colOff>
      <row>27</row>
      <rowOff>0</rowOff>
    </from>
    <ext cx="576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D36"/>
  <sheetViews>
    <sheetView showGridLines="0" workbookViewId="0">
      <selection activeCell="A1" sqref="A1"/>
    </sheetView>
  </sheetViews>
  <sheetFormatPr baseColWidth="8" defaultRowHeight="15"/>
  <cols>
    <col width="2" customWidth="1" min="1" max="1"/>
    <col width="34" customWidth="1" min="2" max="2"/>
    <col width="22" customWidth="1" min="3" max="3"/>
    <col width="62" customWidth="1" min="4" max="4"/>
    <col width="2" customWidth="1" min="5" max="5"/>
  </cols>
  <sheetData>
    <row r="1" ht="28" customHeight="1">
      <c r="B1" s="1" t="inlineStr">
        <is>
          <t>Inventory Control &amp; Reorder</t>
        </is>
      </c>
    </row>
    <row r="2">
      <c r="B2" s="2" t="inlineStr">
        <is>
          <t>Axcell Financial Consulting</t>
        </is>
      </c>
    </row>
    <row r="3">
      <c r="B3" s="3" t="inlineStr">
        <is>
          <t>Value your stock at weighted-average cost and see what to reorder and what is not moving</t>
        </is>
      </c>
    </row>
    <row r="5">
      <c r="B5" s="4" t="inlineStr">
        <is>
          <t>How to use it (about 10 minutes)</t>
        </is>
      </c>
      <c r="C5" s="5" t="n"/>
      <c r="D5" s="5" t="n"/>
    </row>
    <row r="6" ht="30" customHeight="1">
      <c r="B6" s="6" t="inlineStr">
        <is>
          <t>Step 1</t>
        </is>
      </c>
      <c r="C6" s="7" t="inlineStr">
        <is>
          <t>Fill 'Your settings' below: the stock date (as-of date), how many months of issues you are entering, and your slow-moving and order-cover rules.</t>
        </is>
      </c>
    </row>
    <row r="7" ht="30" customHeight="1">
      <c r="B7" s="6" t="inlineStr">
        <is>
          <t>Step 2</t>
        </is>
      </c>
      <c r="C7" s="7" t="inlineStr">
        <is>
          <t>On 'Stock register', enter one row per item: opening quantity and unit cost, quantity received and its unit cost, and quantity issued (used or sold) during the period.</t>
        </is>
      </c>
    </row>
    <row r="8" ht="30" customHeight="1">
      <c r="B8" s="6" t="inlineStr">
        <is>
          <t>Step 3</t>
        </is>
      </c>
      <c r="C8" s="7" t="inlineStr">
        <is>
          <t>Add the supplier lead time in days, the safety stock you want to hold, and the date the item last moved (last receipt or issue).</t>
        </is>
      </c>
    </row>
    <row r="9" ht="30" customHeight="1">
      <c r="B9" s="6" t="inlineStr">
        <is>
          <t>Step 4</t>
        </is>
      </c>
      <c r="C9" s="7" t="inlineStr">
        <is>
          <t>Read the coloured flags: 'Reorder now' (stock at or below the reorder point, with a suggested order quantity) and 'Slow-moving' (no movement for longer than your limit).</t>
        </is>
      </c>
    </row>
    <row r="10" ht="30" customHeight="1">
      <c r="B10" s="6" t="inlineStr">
        <is>
          <t>Step 5</t>
        </is>
      </c>
      <c r="C10" s="7" t="inlineStr">
        <is>
          <t>Read 'Summary' for total stock value, items to reorder, slow-moving value and the split by category. Use the filter arrows on the register to list only the items to reorder.</t>
        </is>
      </c>
    </row>
    <row r="11"/>
    <row r="12">
      <c r="B12" s="4" t="inlineStr">
        <is>
          <t>Colour legend</t>
        </is>
      </c>
      <c r="C12" s="5" t="n"/>
      <c r="D12" s="5" t="n"/>
    </row>
    <row r="13">
      <c r="B13" s="8" t="inlineStr">
        <is>
          <t>1,250</t>
        </is>
      </c>
      <c r="C13" s="9" t="inlineStr">
        <is>
          <t>Input: blue text on light-yellow. Type your own numbers here.</t>
        </is>
      </c>
    </row>
    <row r="14">
      <c r="B14" s="10" t="inlineStr">
        <is>
          <t>1,250</t>
        </is>
      </c>
      <c r="C14" s="9" t="inlineStr">
        <is>
          <t>Formula: black text. Calculated for you, do not overwrite.</t>
        </is>
      </c>
    </row>
    <row r="15">
      <c r="B15" s="10" t="inlineStr">
        <is>
          <t>(1,250)</t>
        </is>
      </c>
      <c r="C15" s="9" t="inlineStr">
        <is>
          <t>Brackets mean a negative number (a loss, an outflow or a shortfall).</t>
        </is>
      </c>
    </row>
    <row r="16" ht="28" customHeight="1">
      <c r="B16" s="11" t="inlineStr">
        <is>
          <t>Reorder now</t>
        </is>
      </c>
      <c r="C16" s="7" t="inlineStr">
        <is>
          <t>Closing stock is at or below the reorder point. Place an order (see suggested order quantity).</t>
        </is>
      </c>
    </row>
    <row r="17" ht="30" customHeight="1">
      <c r="B17" s="12" t="inlineStr">
        <is>
          <t>Slow-moving</t>
        </is>
      </c>
      <c r="C17" s="7" t="inlineStr">
        <is>
          <t>No receipt or issue for longer than your slow-moving limit. Consider promotion, return to supplier or write-down.</t>
        </is>
      </c>
    </row>
    <row r="18"/>
    <row r="19">
      <c r="B19" s="4" t="inlineStr">
        <is>
          <t>Your settings</t>
        </is>
      </c>
      <c r="C19" s="5" t="n"/>
      <c r="D19" s="5" t="n"/>
    </row>
    <row r="20">
      <c r="B20" s="13" t="inlineStr">
        <is>
          <t>Company name</t>
        </is>
      </c>
      <c r="C20" s="14" t="inlineStr">
        <is>
          <t>Example Mfg Co.</t>
        </is>
      </c>
      <c r="D20" s="15" t="inlineStr">
        <is>
          <t>Shown on every sheet.</t>
        </is>
      </c>
    </row>
    <row r="21">
      <c r="B21" s="13" t="inlineStr">
        <is>
          <t>Currency (label only)</t>
        </is>
      </c>
      <c r="C21" s="14" t="inlineStr">
        <is>
          <t>Your currency</t>
        </is>
      </c>
      <c r="D21" s="15" t="inlineStr">
        <is>
          <t>A label only. No conversion is done.</t>
        </is>
      </c>
    </row>
    <row r="22" ht="30" customHeight="1">
      <c r="B22" s="13" t="inlineStr">
        <is>
          <t>Stock date (as-of date)</t>
        </is>
      </c>
      <c r="C22" s="16" t="n">
        <v>46326</v>
      </c>
      <c r="D22" s="15" t="inlineStr">
        <is>
          <t>The date of your closing stock count. 'Days since last movement' is measured to this date.</t>
        </is>
      </c>
    </row>
    <row r="23" ht="30" customHeight="1">
      <c r="B23" s="13" t="inlineStr">
        <is>
          <t>Months of issues entered</t>
        </is>
      </c>
      <c r="C23" s="17" t="n">
        <v>3</v>
      </c>
      <c r="D23" s="15" t="inlineStr">
        <is>
          <t>Issues are divided by this to get average monthly usage. Example: issues for Aug-Oct = 3 months.</t>
        </is>
      </c>
    </row>
    <row r="24" ht="30" customHeight="1">
      <c r="B24" s="13" t="inlineStr">
        <is>
          <t>Slow-moving limit (days)</t>
        </is>
      </c>
      <c r="C24" s="18" t="n">
        <v>90</v>
      </c>
      <c r="D24" s="15" t="inlineStr">
        <is>
          <t>Items with stock and no receipt or issue for at least this many days are flagged Slow-moving.</t>
        </is>
      </c>
    </row>
    <row r="25" ht="30" customHeight="1">
      <c r="B25" s="13" t="inlineStr">
        <is>
          <t>Order cover (days)</t>
        </is>
      </c>
      <c r="C25" s="18" t="n">
        <v>30</v>
      </c>
      <c r="D25" s="15" t="inlineStr">
        <is>
          <t>When an item needs reordering, the suggested order brings stock up to the reorder point plus this many days of usage.</t>
        </is>
      </c>
    </row>
    <row r="26" ht="26" customHeight="1">
      <c r="B26" s="13" t="inlineStr">
        <is>
          <t>Days per month</t>
        </is>
      </c>
      <c r="C26" s="18" t="n">
        <v>30</v>
      </c>
      <c r="D26" s="15" t="inlineStr">
        <is>
          <t>Used to turn monthly usage into daily usage. 30 is a common convention.</t>
        </is>
      </c>
    </row>
    <row r="27"/>
    <row r="28">
      <c r="B28" s="4" t="inlineStr">
        <is>
          <t>Good to know</t>
        </is>
      </c>
      <c r="C28" s="5" t="n"/>
      <c r="D28" s="5" t="n"/>
    </row>
    <row r="29" ht="30" customHeight="1">
      <c r="B29" s="7" t="inlineStr">
        <is>
          <t>• Weighted-average cost = (opening qty × opening cost + received qty × receipt cost) ÷ (opening qty + received qty). Stock value = closing qty × weighted-average cost.</t>
        </is>
      </c>
    </row>
    <row r="30" ht="30" customHeight="1">
      <c r="B30" s="7" t="inlineStr">
        <is>
          <t>• Reorder point = average daily usage × lead time (days), rounded up, + safety stock. Days on hand = closing qty ÷ average daily usage.</t>
        </is>
      </c>
    </row>
    <row r="31" ht="30" customHeight="1">
      <c r="B31" s="7" t="inlineStr">
        <is>
          <t>• Enter all quantities in the item's own unit (pieces, kg, metres). Quantities of different items are not added together; values are.</t>
        </is>
      </c>
    </row>
    <row r="32" ht="30" customHeight="1">
      <c r="B32" s="7" t="inlineStr">
        <is>
          <t>• There are 40 item rows. Do not insert or delete rows or columns; blank rows are ignored. To start clean, delete the yellow example cells.</t>
        </is>
      </c>
    </row>
    <row r="33" ht="30" customHeight="1">
      <c r="B33" s="7" t="inlineStr">
        <is>
          <t>• This is a periodic (end-of-period) control sheet, not a perpetual stock ledger. Valuation and write-down policies for your financial statements should follow the accounting framework you report under.</t>
        </is>
      </c>
    </row>
    <row r="34"/>
    <row r="35">
      <c r="B35" s="19" t="inlineStr">
        <is>
          <t>Illustrative tool for decision support, not financial, tax or legal advice. The example figures are made up for illustration.</t>
        </is>
      </c>
    </row>
    <row r="36" ht="43.5" customHeight="1">
      <c r="B36" s="20" t="inlineStr">
        <is>
          <t>axcellservice.com · Free template · Book a free 30-minute consultation: axcellservice.com/contact</t>
        </is>
      </c>
    </row>
  </sheetData>
  <mergeCells count="16">
    <mergeCell ref="B33:D33"/>
    <mergeCell ref="C6:D6"/>
    <mergeCell ref="C10:D10"/>
    <mergeCell ref="C7:D7"/>
    <mergeCell ref="C16:D16"/>
    <mergeCell ref="C15:D15"/>
    <mergeCell ref="B31:D31"/>
    <mergeCell ref="B32:D32"/>
    <mergeCell ref="B35:D35"/>
    <mergeCell ref="C14:D14"/>
    <mergeCell ref="C13:D13"/>
    <mergeCell ref="B30:D30"/>
    <mergeCell ref="C9:D9"/>
    <mergeCell ref="B29:D29"/>
    <mergeCell ref="C17:D17"/>
    <mergeCell ref="C8:D8"/>
  </mergeCells>
  <dataValidations count="5">
    <dataValidation sqref="C22" showDropDown="0" showInputMessage="0" showErrorMessage="1" allowBlank="0" errorTitle="Date needed" error="Enter a date, e.g. 31/10/2026." type="date" operator="greaterThan">
      <formula1>36526</formula1>
    </dataValidation>
    <dataValidation sqref="C23" showDropDown="0" showInputMessage="0" showErrorMessage="1" allowBlank="0" errorTitle="Months" error="Enter the number of months your Issues column covers, e.g. 3." type="decimal" operator="between">
      <formula1>0.1</formula1>
      <formula2>60</formula2>
    </dataValidation>
    <dataValidation sqref="C24 C25" showDropDown="0" showInputMessage="0" showErrorMessage="1" allowBlank="0" errorTitle="Days" error="Enter a whole number of days." type="whole" operator="between">
      <formula1>1</formula1>
      <formula2>3650</formula2>
    </dataValidation>
    <dataValidation sqref="C24 C25" showDropDown="0" showInputMessage="0" showErrorMessage="1" allowBlank="0" errorTitle="Days" error="Enter a whole number of days." type="whole" operator="between">
      <formula1>1</formula1>
      <formula2>3650</formula2>
    </dataValidation>
    <dataValidation sqref="C26" showDropDown="0" showInputMessage="0" showErrorMessage="1" allowBlank="0" errorTitle="Days per month" error="Enter a value between 28 and 31, e.g. 30." type="decimal" operator="between">
      <formula1>28</formula1>
      <formula2>31</formula2>
    </dataValidation>
  </dataValidations>
  <printOptions horizontalCentered="1"/>
  <pageMargins left="0.4" right="0.4" top="1" bottom="1" header="0.5" footer="0.5"/>
  <pageSetup orientation="portrait" paperSize="9" fitToHeight="0" fitToWidth="1"/>
  <headerFooter>
    <oddHeader/>
    <oddFooter>&amp;L&amp;8 Axcell Financial Consulting · axcellservice.com · Free template&amp;R&amp;8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B1:H45"/>
  <sheetViews>
    <sheetView showGridLines="0" workbookViewId="0">
      <selection activeCell="A1" sqref="A1"/>
    </sheetView>
  </sheetViews>
  <sheetFormatPr baseColWidth="8" defaultRowHeight="15"/>
  <cols>
    <col width="2" customWidth="1" min="1" max="1"/>
    <col width="40" customWidth="1" min="2" max="2"/>
    <col width="16" customWidth="1" min="3" max="3"/>
    <col width="14" customWidth="1" min="4" max="4"/>
    <col width="14" customWidth="1" min="5" max="5"/>
    <col width="16" customWidth="1" min="6" max="6"/>
    <col width="16" customWidth="1" min="7" max="7"/>
    <col width="16" customWidth="1" min="8" max="8"/>
    <col width="2" customWidth="1" min="9" max="9"/>
  </cols>
  <sheetData>
    <row r="1" ht="26" customHeight="1">
      <c r="B1" s="21" t="inlineStr">
        <is>
          <t>Inventory summary</t>
        </is>
      </c>
    </row>
    <row r="2">
      <c r="B2" s="22" t="str">
        <f>"Axcell Financial Consulting · "&amp;'Start here'!$C$20&amp;" · values in "&amp;'Start here'!$C$21&amp;" · stock date "&amp;TEXT('Start here'!$C$22,"dd mmm yyyy")</f>
        <v>Axcell Financial Consulting · Example Mfg Co. · values in Your currency · stock date 31 Oct 2026</v>
      </c>
    </row>
    <row r="3">
      <c r="B3" s="23" t="str">
        <f>C8&amp;" item(s) to reorder now · "&amp;C10&amp;" slow-moving item(s) worth "&amp;TEXT(C11,"#,##0")&amp;" "&amp;'Start here'!$C$21&amp;IF(C15&gt;0," · "&amp;C15&amp;" row(s) need a check","")</f>
        <v>3 item(s) to reorder now · 3 slow-moving item(s) worth 36,360 Your currency</v>
      </c>
    </row>
    <row r="5">
      <c r="B5" s="4" t="inlineStr">
        <is>
          <t>KEY FIGURES</t>
        </is>
      </c>
      <c r="C5" s="5" t="n"/>
      <c r="D5" s="5" t="n"/>
    </row>
    <row r="6">
      <c r="B6" s="24" t="inlineStr">
        <is>
          <t>Total stock value</t>
        </is>
      </c>
      <c r="C6" s="25">
        <f>'Stock register'!M46</f>
        <v>137420.443722944</v>
      </c>
      <c r="D6" s="26" t="n"/>
    </row>
    <row r="7">
      <c r="B7" s="24" t="inlineStr">
        <is>
          <t>Number of items</t>
        </is>
      </c>
      <c r="C7" s="27">
        <f>COUNTIF('Stock register'!$C$6:$C$45,"?*")</f>
        <v>12</v>
      </c>
      <c r="D7" s="26" t="n"/>
    </row>
    <row r="8">
      <c r="B8" s="24" t="inlineStr">
        <is>
          <t>Items to reorder now</t>
        </is>
      </c>
      <c r="C8" s="27">
        <f>COUNTIF('Stock register'!$U$6:$U$45,"Reorder now")</f>
        <v>3</v>
      </c>
      <c r="D8" s="26" t="n"/>
    </row>
    <row r="9">
      <c r="B9" s="24" t="inlineStr">
        <is>
          <t>Estimated value of suggested orders</t>
        </is>
      </c>
      <c r="C9" s="25">
        <f>SUMPRODUCT(('Stock register'!$U$6:$U$45="Reorder now")*1,'Stock register'!$T$6:$T$45,'Stock register'!$L$6:$L$45)</f>
        <v>81441.7575757576</v>
      </c>
      <c r="D9" s="26" t="n"/>
    </row>
    <row r="10">
      <c r="B10" s="24" t="inlineStr">
        <is>
          <t>Slow-moving items</t>
        </is>
      </c>
      <c r="C10" s="27">
        <f>COUNTIF('Stock register'!$X$6:$X$45,"Slow-moving")</f>
        <v>3</v>
      </c>
      <c r="D10" s="26" t="n"/>
    </row>
    <row r="11">
      <c r="B11" s="24" t="inlineStr">
        <is>
          <t>Slow-moving stock value</t>
        </is>
      </c>
      <c r="C11" s="25">
        <f>SUMIF('Stock register'!$X$6:$X$45,"Slow-moving",'Stock register'!$M$6:$M$45)</f>
        <v>36360</v>
      </c>
      <c r="D11" s="26" t="n"/>
    </row>
    <row r="12">
      <c r="B12" s="24" t="inlineStr">
        <is>
          <t>Slow-moving value as % of total stock</t>
        </is>
      </c>
      <c r="C12" s="28">
        <f>IF(C6=0,0,C11/C6)</f>
        <v>0.264589452740425</v>
      </c>
      <c r="D12" s="26" t="n"/>
    </row>
    <row r="13">
      <c r="B13" s="24" t="inlineStr">
        <is>
          <t>Cost of issues in the period</t>
        </is>
      </c>
      <c r="C13" s="25">
        <f>'Stock register'!N46</f>
        <v>392749.556277056</v>
      </c>
      <c r="D13" s="26" t="n"/>
    </row>
    <row r="14">
      <c r="B14" s="24" t="inlineStr">
        <is>
          <t>Stock cover (months of issues at cost)</t>
        </is>
      </c>
      <c r="C14" s="29">
        <f>IF(C13=0,0,C6/(C13/'Start here'!$C$23))</f>
        <v>1.04967994127538</v>
      </c>
      <c r="D14" s="26" t="n"/>
    </row>
    <row r="15">
      <c r="B15" s="24" t="inlineStr">
        <is>
          <t>Rows needing a check (red text)</t>
        </is>
      </c>
      <c r="C15" s="27">
        <f>COUNTIF('Stock register'!$U$6:$U$45,"CHECK*")+COUNTIF('Stock register'!$X$6:$X$45,"CHECK*")</f>
        <v>0</v>
      </c>
      <c r="D15" s="26" t="n"/>
    </row>
    <row r="17">
      <c r="B17" s="4" t="inlineStr">
        <is>
          <t>BY CATEGORY</t>
        </is>
      </c>
      <c r="C17" s="5" t="n"/>
      <c r="D17" s="5" t="n"/>
      <c r="E17" s="5" t="n"/>
      <c r="F17" s="5" t="n"/>
      <c r="G17" s="5" t="n"/>
      <c r="H17" s="5" t="n"/>
    </row>
    <row r="18">
      <c r="B18" s="30" t="inlineStr">
        <is>
          <t>Category</t>
        </is>
      </c>
      <c r="C18" s="31" t="inlineStr">
        <is>
          <t>Items</t>
        </is>
      </c>
      <c r="D18" s="31" t="inlineStr">
        <is>
          <t>Stock value</t>
        </is>
      </c>
      <c r="E18" s="31" t="inlineStr">
        <is>
          <t>% of value</t>
        </is>
      </c>
      <c r="F18" s="31" t="inlineStr">
        <is>
          <t>Items to reorder</t>
        </is>
      </c>
      <c r="G18" s="31" t="inlineStr">
        <is>
          <t>Slow-moving value</t>
        </is>
      </c>
      <c r="H18" s="31" t="inlineStr">
        <is>
          <t>Cost of issues</t>
        </is>
      </c>
    </row>
    <row r="19">
      <c r="B19" s="24" t="inlineStr">
        <is>
          <t>Raw material</t>
        </is>
      </c>
      <c r="C19" s="32">
        <f>COUNTIFS('Stock register'!$D$6:$D$45,$B19,'Stock register'!$C$6:$C$45,"?*")</f>
        <v>3</v>
      </c>
      <c r="D19" s="33">
        <f>SUMIF('Stock register'!$D$6:$D$45,$B19,'Stock register'!$M$6:$M$45)</f>
        <v>35298.1818181818</v>
      </c>
      <c r="E19" s="34">
        <f>IF($C$6=0,0,D19/$C$6)</f>
        <v>0.256862668041934</v>
      </c>
      <c r="F19" s="32">
        <f>COUNTIFS('Stock register'!$D$6:$D$45,$B19,'Stock register'!$U$6:$U$45,"Reorder now")</f>
        <v>1</v>
      </c>
      <c r="G19" s="33">
        <f>SUMIFS('Stock register'!$M$6:$M$45,'Stock register'!$D$6:$D$45,$B19,'Stock register'!$X$6:$X$45,"Slow-moving")</f>
        <v>0</v>
      </c>
      <c r="H19" s="33">
        <f>SUMIF('Stock register'!$D$6:$D$45,$B19,'Stock register'!$N$6:$N$45)</f>
        <v>101001.818181818</v>
      </c>
    </row>
    <row r="20">
      <c r="B20" s="24" t="inlineStr">
        <is>
          <t>Packaging</t>
        </is>
      </c>
      <c r="C20" s="32">
        <f>COUNTIFS('Stock register'!$D$6:$D$45,$B20,'Stock register'!$C$6:$C$45,"?*")</f>
        <v>2</v>
      </c>
      <c r="D20" s="33">
        <f>SUMIF('Stock register'!$D$6:$D$45,$B20,'Stock register'!$M$6:$M$45)</f>
        <v>4557.5</v>
      </c>
      <c r="E20" s="34">
        <f>IF($C$6=0,0,D20/$C$6)</f>
        <v>0.0331646433131047</v>
      </c>
      <c r="F20" s="32">
        <f>COUNTIFS('Stock register'!$D$6:$D$45,$B20,'Stock register'!$U$6:$U$45,"Reorder now")</f>
        <v>1</v>
      </c>
      <c r="G20" s="33">
        <f>SUMIFS('Stock register'!$M$6:$M$45,'Stock register'!$D$6:$D$45,$B20,'Stock register'!$X$6:$X$45,"Slow-moving")</f>
        <v>0</v>
      </c>
      <c r="H20" s="33">
        <f>SUMIF('Stock register'!$D$6:$D$45,$B20,'Stock register'!$N$6:$N$45)</f>
        <v>16942.5</v>
      </c>
    </row>
    <row r="21">
      <c r="B21" s="24" t="inlineStr">
        <is>
          <t>Finished goods</t>
        </is>
      </c>
      <c r="C21" s="32">
        <f>COUNTIFS('Stock register'!$D$6:$D$45,$B21,'Stock register'!$C$6:$C$45,"?*")</f>
        <v>3</v>
      </c>
      <c r="D21" s="33">
        <f>SUMIF('Stock register'!$D$6:$D$45,$B21,'Stock register'!$M$6:$M$45)</f>
        <v>86204.7619047619</v>
      </c>
      <c r="E21" s="34">
        <f>IF($C$6=0,0,D21/$C$6)</f>
        <v>0.627306677007689</v>
      </c>
      <c r="F21" s="32">
        <f>COUNTIFS('Stock register'!$D$6:$D$45,$B21,'Stock register'!$U$6:$U$45,"Reorder now")</f>
        <v>1</v>
      </c>
      <c r="G21" s="33">
        <f>SUMIFS('Stock register'!$M$6:$M$45,'Stock register'!$D$6:$D$45,$B21,'Stock register'!$X$6:$X$45,"Slow-moving")</f>
        <v>31500</v>
      </c>
      <c r="H21" s="33">
        <f>SUMIF('Stock register'!$D$6:$D$45,$B21,'Stock register'!$N$6:$N$45)</f>
        <v>266595.238095238</v>
      </c>
    </row>
    <row r="22">
      <c r="B22" s="24" t="inlineStr">
        <is>
          <t>Spare parts</t>
        </is>
      </c>
      <c r="C22" s="32">
        <f>COUNTIFS('Stock register'!$D$6:$D$45,$B22,'Stock register'!$C$6:$C$45,"?*")</f>
        <v>2</v>
      </c>
      <c r="D22" s="33">
        <f>SUMIF('Stock register'!$D$6:$D$45,$B22,'Stock register'!$M$6:$M$45)</f>
        <v>4120</v>
      </c>
      <c r="E22" s="34">
        <f>IF($C$6=0,0,D22/$C$6)</f>
        <v>0.0299809830937995</v>
      </c>
      <c r="F22" s="32">
        <f>COUNTIFS('Stock register'!$D$6:$D$45,$B22,'Stock register'!$U$6:$U$45,"Reorder now")</f>
        <v>0</v>
      </c>
      <c r="G22" s="33">
        <f>SUMIFS('Stock register'!$M$6:$M$45,'Stock register'!$D$6:$D$45,$B22,'Stock register'!$X$6:$X$45,"Slow-moving")</f>
        <v>2160</v>
      </c>
      <c r="H22" s="33">
        <f>SUMIF('Stock register'!$D$6:$D$45,$B22,'Stock register'!$N$6:$N$45)</f>
        <v>1400</v>
      </c>
    </row>
    <row r="23">
      <c r="B23" s="24" t="inlineStr">
        <is>
          <t>Consumables</t>
        </is>
      </c>
      <c r="C23" s="32">
        <f>COUNTIFS('Stock register'!$D$6:$D$45,$B23,'Stock register'!$C$6:$C$45,"?*")</f>
        <v>2</v>
      </c>
      <c r="D23" s="33">
        <f>SUMIF('Stock register'!$D$6:$D$45,$B23,'Stock register'!$M$6:$M$45)</f>
        <v>7240</v>
      </c>
      <c r="E23" s="34">
        <f>IF($C$6=0,0,D23/$C$6)</f>
        <v>0.0526850285434729</v>
      </c>
      <c r="F23" s="32">
        <f>COUNTIFS('Stock register'!$D$6:$D$45,$B23,'Stock register'!$U$6:$U$45,"Reorder now")</f>
        <v>0</v>
      </c>
      <c r="G23" s="33">
        <f>SUMIFS('Stock register'!$M$6:$M$45,'Stock register'!$D$6:$D$45,$B23,'Stock register'!$X$6:$X$45,"Slow-moving")</f>
        <v>2700</v>
      </c>
      <c r="H23" s="33">
        <f>SUMIF('Stock register'!$D$6:$D$45,$B23,'Stock register'!$N$6:$N$45)</f>
        <v>6810</v>
      </c>
    </row>
    <row r="24">
      <c r="B24" s="24" t="inlineStr">
        <is>
          <t>Other</t>
        </is>
      </c>
      <c r="C24" s="32">
        <f>COUNTIFS('Stock register'!$D$6:$D$45,$B24,'Stock register'!$C$6:$C$45,"?*")</f>
        <v>0</v>
      </c>
      <c r="D24" s="33">
        <f>SUMIF('Stock register'!$D$6:$D$45,$B24,'Stock register'!$M$6:$M$45)</f>
        <v>0</v>
      </c>
      <c r="E24" s="34">
        <f>IF($C$6=0,0,D24/$C$6)</f>
        <v>0</v>
      </c>
      <c r="F24" s="32">
        <f>COUNTIFS('Stock register'!$D$6:$D$45,$B24,'Stock register'!$U$6:$U$45,"Reorder now")</f>
        <v>0</v>
      </c>
      <c r="G24" s="33">
        <f>SUMIFS('Stock register'!$M$6:$M$45,'Stock register'!$D$6:$D$45,$B24,'Stock register'!$X$6:$X$45,"Slow-moving")</f>
        <v>0</v>
      </c>
      <c r="H24" s="33">
        <f>SUMIF('Stock register'!$D$6:$D$45,$B24,'Stock register'!$N$6:$N$45)</f>
        <v>0</v>
      </c>
    </row>
    <row r="25">
      <c r="B25" s="35" t="inlineStr">
        <is>
          <t>Total</t>
        </is>
      </c>
      <c r="C25" s="36">
        <f>SUM(C19:C24)</f>
        <v>12</v>
      </c>
      <c r="D25" s="37">
        <f>SUM(D19:D24)</f>
        <v>137420.443722944</v>
      </c>
      <c r="E25" s="38">
        <f>SUM(E19:E24)</f>
        <v>1</v>
      </c>
      <c r="F25" s="36">
        <f>SUM(F19:F24)</f>
        <v>3</v>
      </c>
      <c r="G25" s="37">
        <f>SUM(G19:G24)</f>
        <v>36360</v>
      </c>
      <c r="H25" s="37">
        <f>SUM(H19:H24)</f>
        <v>392749.556277056</v>
      </c>
    </row>
    <row r="26">
      <c r="B26" s="22" t="inlineStr">
        <is>
          <t>Check: category total = register total (items with no category are not counted above)</t>
        </is>
      </c>
      <c r="D26" s="39" t="str">
        <f>IF(ROUND(D25-C6,2)=0,"OK","CHECK categories")</f>
        <v>OK</v>
      </c>
    </row>
    <row r="44">
      <c r="B44" s="19" t="inlineStr">
        <is>
          <t>Example figures are made up for illustration. Not financial, tax or legal advice.</t>
        </is>
      </c>
    </row>
    <row r="45">
      <c r="B45" s="20" t="inlineStr">
        <is>
          <t>axcellservice.com · Free template · Book a free 30-minute consultation: axcellservice.com/contact</t>
        </is>
      </c>
    </row>
  </sheetData>
  <conditionalFormatting sqref="C8">
    <cfRule type="cellIs" priority="1" operator="greaterThan" dxfId="0">
      <formula>0</formula>
    </cfRule>
  </conditionalFormatting>
  <conditionalFormatting sqref="C10">
    <cfRule type="cellIs" priority="2" operator="greaterThan" dxfId="1">
      <formula>0</formula>
    </cfRule>
  </conditionalFormatting>
  <conditionalFormatting sqref="C15">
    <cfRule type="cellIs" priority="3" operator="greaterThan" dxfId="0">
      <formula>0</formula>
    </cfRule>
  </conditionalFormatting>
  <conditionalFormatting sqref="D26">
    <cfRule type="cellIs" priority="4" operator="notEqual" dxfId="0">
      <formula>"OK"</formula>
    </cfRule>
    <cfRule type="cellIs" priority="5" operator="equal" dxfId="2">
      <formula>"OK"</formula>
    </cfRule>
  </conditionalFormatting>
  <printOptions horizontalCentered="1"/>
  <pageMargins left="0.4" right="0.4" top="1" bottom="1" header="0.5" footer="0.5"/>
  <pageSetup orientation="portrait" paperSize="9" fitToHeight="0" fitToWidth="1"/>
  <headerFooter>
    <oddHeader/>
    <oddFooter>&amp;L&amp;8 Axcell Financial Consulting · axcellservice.com · Free template&amp;R&amp;8 Page &amp;P of &amp;N</oddFooter>
    <evenHeader/>
    <evenFooter/>
    <firstHeader/>
    <firstFooter/>
  </headerFooter>
  <drawing xmlns:r="http://schemas.openxmlformats.org/officeDocument/2006/relationships" r:id="rId1"/>
</worksheet>
</file>

<file path=xl/worksheets/sheet3.xml><?xml version="1.0" encoding="utf-8"?>
<worksheet xmlns="http://schemas.openxmlformats.org/spreadsheetml/2006/main">
  <sheetPr>
    <outlinePr summaryBelow="1" summaryRight="1"/>
    <pageSetUpPr fitToPage="1"/>
  </sheetPr>
  <dimension ref="B1:X49"/>
  <sheetViews>
    <sheetView showGridLines="0" workbookViewId="0">
      <pane xSplit="3" ySplit="5" topLeftCell="D6" activePane="bottomRight" state="frozen"/>
      <selection pane="topRight"/>
      <selection pane="bottomLeft"/>
      <selection pane="bottomRight" activeCell="A1" sqref="A1"/>
    </sheetView>
  </sheetViews>
  <sheetFormatPr baseColWidth="8" defaultRowHeight="15"/>
  <cols>
    <col width="2" customWidth="1" min="1" max="1"/>
    <col width="11" customWidth="1" min="2" max="2"/>
    <col width="28" customWidth="1" min="3" max="3"/>
    <col width="14" customWidth="1" min="4" max="4"/>
    <col width="8"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2" customWidth="1" min="13" max="13"/>
    <col width="12" customWidth="1" min="14" max="14"/>
    <col width="10" customWidth="1" min="15" max="15"/>
    <col width="9" customWidth="1" min="16" max="16"/>
    <col width="9" customWidth="1" min="17" max="17"/>
    <col width="9" customWidth="1" min="18" max="18"/>
    <col width="10" customWidth="1" min="19" max="19"/>
    <col width="10" customWidth="1" min="20" max="20"/>
    <col width="15" customWidth="1" min="21" max="21"/>
    <col width="12" customWidth="1" min="22" max="22"/>
    <col width="10" customWidth="1" min="23" max="23"/>
    <col width="14" customWidth="1" min="24" max="24"/>
  </cols>
  <sheetData>
    <row r="1" ht="26" customHeight="1">
      <c r="B1" s="21" t="inlineStr">
        <is>
          <t>Stock register</t>
        </is>
      </c>
    </row>
    <row r="2">
      <c r="B2" s="22" t="str">
        <f>"Axcell Financial Consulting · "&amp;'Start here'!$C$20&amp;" · values in "&amp;'Start here'!$C$21&amp;" · stock date "&amp;TEXT('Start here'!$C$22,"dd mmm yyyy")</f>
        <v>Axcell Financial Consulting · Example Mfg Co. · values in Your currency · stock date 31 Oct 2026</v>
      </c>
    </row>
    <row r="4">
      <c r="B4" s="19" t="inlineStr">
        <is>
          <t>Yellow = your inputs. Grey header columns are calculated. Use the filter arrows to show only 'Reorder now' or 'Slow-moving' items.</t>
        </is>
      </c>
    </row>
    <row r="5" ht="46" customHeight="1">
      <c r="B5" s="40" t="inlineStr">
        <is>
          <t>SKU / code</t>
        </is>
      </c>
      <c r="C5" s="40" t="inlineStr">
        <is>
          <t>Item description</t>
        </is>
      </c>
      <c r="D5" s="40" t="inlineStr">
        <is>
          <t>Category</t>
        </is>
      </c>
      <c r="E5" s="40" t="inlineStr">
        <is>
          <t>Unit</t>
        </is>
      </c>
      <c r="F5" s="40" t="inlineStr">
        <is>
          <t>Opening qty</t>
        </is>
      </c>
      <c r="G5" s="40" t="inlineStr">
        <is>
          <t>Opening unit cost</t>
        </is>
      </c>
      <c r="H5" s="40" t="inlineStr">
        <is>
          <t>Received qty</t>
        </is>
      </c>
      <c r="I5" s="40" t="inlineStr">
        <is>
          <t>Receipt unit cost</t>
        </is>
      </c>
      <c r="J5" s="40" t="inlineStr">
        <is>
          <t>Issued qty (used / sold)</t>
        </is>
      </c>
      <c r="K5" s="41" t="inlineStr">
        <is>
          <t>Closing qty</t>
        </is>
      </c>
      <c r="L5" s="41" t="inlineStr">
        <is>
          <t>Weighted-avg unit cost</t>
        </is>
      </c>
      <c r="M5" s="41" t="inlineStr">
        <is>
          <t>Stock value</t>
        </is>
      </c>
      <c r="N5" s="41" t="inlineStr">
        <is>
          <t>Cost of issues</t>
        </is>
      </c>
      <c r="O5" s="41" t="inlineStr">
        <is>
          <t>Avg monthly usage (qty)</t>
        </is>
      </c>
      <c r="P5" s="41" t="inlineStr">
        <is>
          <t>Days on hand</t>
        </is>
      </c>
      <c r="Q5" s="40" t="inlineStr">
        <is>
          <t>Lead time (days)</t>
        </is>
      </c>
      <c r="R5" s="40" t="inlineStr">
        <is>
          <t>Safety stock (qty)</t>
        </is>
      </c>
      <c r="S5" s="41" t="inlineStr">
        <is>
          <t>Reorder point (qty)</t>
        </is>
      </c>
      <c r="T5" s="41" t="inlineStr">
        <is>
          <t>Suggested order qty</t>
        </is>
      </c>
      <c r="U5" s="41" t="inlineStr">
        <is>
          <t>Reorder status</t>
        </is>
      </c>
      <c r="V5" s="40" t="inlineStr">
        <is>
          <t>Last movement date</t>
        </is>
      </c>
      <c r="W5" s="41" t="inlineStr">
        <is>
          <t>Days since last movement</t>
        </is>
      </c>
      <c r="X5" s="41" t="inlineStr">
        <is>
          <t>Movement status</t>
        </is>
      </c>
    </row>
    <row r="6">
      <c r="B6" s="42" t="inlineStr">
        <is>
          <t>RM-001</t>
        </is>
      </c>
      <c r="C6" s="42" t="inlineStr">
        <is>
          <t>Steel sheet 1.5 mm</t>
        </is>
      </c>
      <c r="D6" s="42" t="inlineStr">
        <is>
          <t>Raw material</t>
        </is>
      </c>
      <c r="E6" s="42" t="inlineStr">
        <is>
          <t>sheet</t>
        </is>
      </c>
      <c r="F6" s="43" t="n">
        <v>400</v>
      </c>
      <c r="G6" s="44" t="n">
        <v>85</v>
      </c>
      <c r="H6" s="43" t="n">
        <v>600</v>
      </c>
      <c r="I6" s="44" t="n">
        <v>90</v>
      </c>
      <c r="J6" s="43" t="n">
        <v>750</v>
      </c>
      <c r="K6" s="45">
        <f>IF($C6="","",F6+H6-J6)</f>
        <v>250</v>
      </c>
      <c r="L6" s="46">
        <f>IF($C6="","",IF((F6+H6)=0,G6,(F6*G6+H6*I6)/(F6+H6)))</f>
        <v>88</v>
      </c>
      <c r="M6" s="47">
        <f>IF($C6="","",K6*L6)</f>
        <v>22000</v>
      </c>
      <c r="N6" s="48">
        <f>IF($C6="","",J6*L6)</f>
        <v>66000</v>
      </c>
      <c r="O6" s="49">
        <f>IF($C6="","",IF('Start here'!$C$23&gt;0,J6/'Start here'!$C$23,0))</f>
        <v>250</v>
      </c>
      <c r="P6" s="50">
        <f>IF($C6="","",IF(O6=0,"No usage",MAX(0,K6)/(O6/'Start here'!$C$26)))</f>
        <v>30</v>
      </c>
      <c r="Q6" s="51" t="n">
        <v>21</v>
      </c>
      <c r="R6" s="43" t="n">
        <v>60</v>
      </c>
      <c r="S6" s="45">
        <f>IF($C6="","",IF(O6=0,R6,ROUNDUP(O6/'Start here'!$C$26*Q6,0)+R6))</f>
        <v>235</v>
      </c>
      <c r="T6" s="45">
        <f>IF($C6="","",IF(U6="Reorder now",MAX(0,ROUNDUP(S6+O6/'Start here'!$C$26*'Start here'!$C$25-K6,0)),0))</f>
        <v>0</v>
      </c>
      <c r="U6" s="52" t="str">
        <f>IF($C6="","",IF(K6&lt;0,"CHECK: negative stock",IF(AND(S6&gt;0,K6&lt;=S6),"Reorder now","OK")))</f>
        <v>OK</v>
      </c>
      <c r="V6" s="53" t="n">
        <v>46323</v>
      </c>
      <c r="W6" s="50">
        <f>IF($C6="","",IF(V6="","",'Start here'!$C$22-V6))</f>
        <v>3</v>
      </c>
      <c r="X6" s="52" t="str">
        <f>IF($C6="","",IF(V6="","CHECK: enter date",IF(W6&lt;0,"CHECK: after stock date",IF(AND(W6&gt;='Start here'!$C$24,K6&gt;0),"Slow-moving","Active"))))</f>
        <v>Active</v>
      </c>
    </row>
    <row r="7">
      <c r="B7" s="42" t="inlineStr">
        <is>
          <t>RM-002</t>
        </is>
      </c>
      <c r="C7" s="42" t="inlineStr">
        <is>
          <t>Aluminium profile</t>
        </is>
      </c>
      <c r="D7" s="42" t="inlineStr">
        <is>
          <t>Raw material</t>
        </is>
      </c>
      <c r="E7" s="42" t="inlineStr">
        <is>
          <t>metre</t>
        </is>
      </c>
      <c r="F7" s="43" t="n">
        <v>1200</v>
      </c>
      <c r="G7" s="44" t="n">
        <v>12</v>
      </c>
      <c r="H7" s="43" t="n">
        <v>1000</v>
      </c>
      <c r="I7" s="44" t="n">
        <v>12.5</v>
      </c>
      <c r="J7" s="43" t="n">
        <v>1900</v>
      </c>
      <c r="K7" s="45">
        <f>IF($C7="","",F7+H7-J7)</f>
        <v>300</v>
      </c>
      <c r="L7" s="46">
        <f>IF($C7="","",IF((F7+H7)=0,G7,(F7*G7+H7*I7)/(F7+H7)))</f>
        <v>12.2272727272727</v>
      </c>
      <c r="M7" s="47">
        <f>IF($C7="","",K7*L7)</f>
        <v>3668.18181818182</v>
      </c>
      <c r="N7" s="48">
        <f>IF($C7="","",J7*L7)</f>
        <v>23231.8181818182</v>
      </c>
      <c r="O7" s="49">
        <f>IF($C7="","",IF('Start here'!$C$23&gt;0,J7/'Start here'!$C$23,0))</f>
        <v>633.333333333333</v>
      </c>
      <c r="P7" s="50">
        <f>IF($C7="","",IF(O7=0,"No usage",MAX(0,K7)/(O7/'Start here'!$C$26)))</f>
        <v>14.2105263157895</v>
      </c>
      <c r="Q7" s="51" t="n">
        <v>30</v>
      </c>
      <c r="R7" s="43" t="n">
        <v>150</v>
      </c>
      <c r="S7" s="45">
        <f>IF($C7="","",IF(O7=0,R7,ROUNDUP(O7/'Start here'!$C$26*Q7,0)+R7))</f>
        <v>784</v>
      </c>
      <c r="T7" s="45">
        <f>IF($C7="","",IF(U7="Reorder now",MAX(0,ROUNDUP(S7+O7/'Start here'!$C$26*'Start here'!$C$25-K7,0)),0))</f>
        <v>1118</v>
      </c>
      <c r="U7" s="52" t="str">
        <f>IF($C7="","",IF(K7&lt;0,"CHECK: negative stock",IF(AND(S7&gt;0,K7&lt;=S7),"Reorder now","OK")))</f>
        <v>Reorder now</v>
      </c>
      <c r="V7" s="53" t="n">
        <v>46325</v>
      </c>
      <c r="W7" s="50">
        <f>IF($C7="","",IF(V7="","",'Start here'!$C$22-V7))</f>
        <v>1</v>
      </c>
      <c r="X7" s="52" t="str">
        <f>IF($C7="","",IF(V7="","CHECK: enter date",IF(W7&lt;0,"CHECK: after stock date",IF(AND(W7&gt;='Start here'!$C$24,K7&gt;0),"Slow-moving","Active"))))</f>
        <v>Active</v>
      </c>
    </row>
    <row r="8">
      <c r="B8" s="42" t="inlineStr">
        <is>
          <t>RM-003</t>
        </is>
      </c>
      <c r="C8" s="42" t="inlineStr">
        <is>
          <t>Industrial paint (20 L drum)</t>
        </is>
      </c>
      <c r="D8" s="42" t="inlineStr">
        <is>
          <t>Raw material</t>
        </is>
      </c>
      <c r="E8" s="42" t="inlineStr">
        <is>
          <t>drum</t>
        </is>
      </c>
      <c r="F8" s="43" t="n">
        <v>60</v>
      </c>
      <c r="G8" s="44" t="n">
        <v>210</v>
      </c>
      <c r="H8" s="43" t="n">
        <v>40</v>
      </c>
      <c r="I8" s="44" t="n">
        <v>220</v>
      </c>
      <c r="J8" s="43" t="n">
        <v>55</v>
      </c>
      <c r="K8" s="45">
        <f>IF($C8="","",F8+H8-J8)</f>
        <v>45</v>
      </c>
      <c r="L8" s="46">
        <f>IF($C8="","",IF((F8+H8)=0,G8,(F8*G8+H8*I8)/(F8+H8)))</f>
        <v>214</v>
      </c>
      <c r="M8" s="47">
        <f>IF($C8="","",K8*L8)</f>
        <v>9630</v>
      </c>
      <c r="N8" s="48">
        <f>IF($C8="","",J8*L8)</f>
        <v>11770</v>
      </c>
      <c r="O8" s="49">
        <f>IF($C8="","",IF('Start here'!$C$23&gt;0,J8/'Start here'!$C$23,0))</f>
        <v>18.3333333333333</v>
      </c>
      <c r="P8" s="50">
        <f>IF($C8="","",IF(O8=0,"No usage",MAX(0,K8)/(O8/'Start here'!$C$26)))</f>
        <v>73.6363636363636</v>
      </c>
      <c r="Q8" s="51" t="n">
        <v>14</v>
      </c>
      <c r="R8" s="43" t="n">
        <v>10</v>
      </c>
      <c r="S8" s="45">
        <f>IF($C8="","",IF(O8=0,R8,ROUNDUP(O8/'Start here'!$C$26*Q8,0)+R8))</f>
        <v>19</v>
      </c>
      <c r="T8" s="45">
        <f>IF($C8="","",IF(U8="Reorder now",MAX(0,ROUNDUP(S8+O8/'Start here'!$C$26*'Start here'!$C$25-K8,0)),0))</f>
        <v>0</v>
      </c>
      <c r="U8" s="52" t="str">
        <f>IF($C8="","",IF(K8&lt;0,"CHECK: negative stock",IF(AND(S8&gt;0,K8&lt;=S8),"Reorder now","OK")))</f>
        <v>OK</v>
      </c>
      <c r="V8" s="53" t="n">
        <v>46310</v>
      </c>
      <c r="W8" s="50">
        <f>IF($C8="","",IF(V8="","",'Start here'!$C$22-V8))</f>
        <v>16</v>
      </c>
      <c r="X8" s="52" t="str">
        <f>IF($C8="","",IF(V8="","CHECK: enter date",IF(W8&lt;0,"CHECK: after stock date",IF(AND(W8&gt;='Start here'!$C$24,K8&gt;0),"Slow-moving","Active"))))</f>
        <v>Active</v>
      </c>
    </row>
    <row r="9">
      <c r="B9" s="42" t="inlineStr">
        <is>
          <t>PK-001</t>
        </is>
      </c>
      <c r="C9" s="42" t="inlineStr">
        <is>
          <t>Carton box, large</t>
        </is>
      </c>
      <c r="D9" s="42" t="inlineStr">
        <is>
          <t>Packaging</t>
        </is>
      </c>
      <c r="E9" s="42" t="inlineStr">
        <is>
          <t>piece</t>
        </is>
      </c>
      <c r="F9" s="43" t="n">
        <v>3000</v>
      </c>
      <c r="G9" s="44" t="n">
        <v>2.4</v>
      </c>
      <c r="H9" s="43" t="n">
        <v>5000</v>
      </c>
      <c r="I9" s="44" t="n">
        <v>2.3</v>
      </c>
      <c r="J9" s="43" t="n">
        <v>6200</v>
      </c>
      <c r="K9" s="45">
        <f>IF($C9="","",F9+H9-J9)</f>
        <v>1800</v>
      </c>
      <c r="L9" s="46">
        <f>IF($C9="","",IF((F9+H9)=0,G9,(F9*G9+H9*I9)/(F9+H9)))</f>
        <v>2.3375</v>
      </c>
      <c r="M9" s="47">
        <f>IF($C9="","",K9*L9)</f>
        <v>4207.5</v>
      </c>
      <c r="N9" s="48">
        <f>IF($C9="","",J9*L9)</f>
        <v>14492.5</v>
      </c>
      <c r="O9" s="49">
        <f>IF($C9="","",IF('Start here'!$C$23&gt;0,J9/'Start here'!$C$23,0))</f>
        <v>2066.66666666667</v>
      </c>
      <c r="P9" s="50">
        <f>IF($C9="","",IF(O9=0,"No usage",MAX(0,K9)/(O9/'Start here'!$C$26)))</f>
        <v>26.1290322580645</v>
      </c>
      <c r="Q9" s="51" t="n">
        <v>10</v>
      </c>
      <c r="R9" s="43" t="n">
        <v>500</v>
      </c>
      <c r="S9" s="45">
        <f>IF($C9="","",IF(O9=0,R9,ROUNDUP(O9/'Start here'!$C$26*Q9,0)+R9))</f>
        <v>1189</v>
      </c>
      <c r="T9" s="45">
        <f>IF($C9="","",IF(U9="Reorder now",MAX(0,ROUNDUP(S9+O9/'Start here'!$C$26*'Start here'!$C$25-K9,0)),0))</f>
        <v>0</v>
      </c>
      <c r="U9" s="52" t="str">
        <f>IF($C9="","",IF(K9&lt;0,"CHECK: negative stock",IF(AND(S9&gt;0,K9&lt;=S9),"Reorder now","OK")))</f>
        <v>OK</v>
      </c>
      <c r="V9" s="53" t="n">
        <v>46324</v>
      </c>
      <c r="W9" s="50">
        <f>IF($C9="","",IF(V9="","",'Start here'!$C$22-V9))</f>
        <v>2</v>
      </c>
      <c r="X9" s="52" t="str">
        <f>IF($C9="","",IF(V9="","CHECK: enter date",IF(W9&lt;0,"CHECK: after stock date",IF(AND(W9&gt;='Start here'!$C$24,K9&gt;0),"Slow-moving","Active"))))</f>
        <v>Active</v>
      </c>
    </row>
    <row r="10">
      <c r="B10" s="42" t="inlineStr">
        <is>
          <t>PK-002</t>
        </is>
      </c>
      <c r="C10" s="42" t="inlineStr">
        <is>
          <t>Stretch film roll</t>
        </is>
      </c>
      <c r="D10" s="42" t="inlineStr">
        <is>
          <t>Packaging</t>
        </is>
      </c>
      <c r="E10" s="42" t="inlineStr">
        <is>
          <t>roll</t>
        </is>
      </c>
      <c r="F10" s="43" t="n">
        <v>80</v>
      </c>
      <c r="G10" s="44" t="n">
        <v>35</v>
      </c>
      <c r="H10" s="43" t="n">
        <v>0</v>
      </c>
      <c r="I10" s="44" t="n">
        <v>0</v>
      </c>
      <c r="J10" s="43" t="n">
        <v>70</v>
      </c>
      <c r="K10" s="45">
        <f>IF($C10="","",F10+H10-J10)</f>
        <v>10</v>
      </c>
      <c r="L10" s="46">
        <f>IF($C10="","",IF((F10+H10)=0,G10,(F10*G10+H10*I10)/(F10+H10)))</f>
        <v>35</v>
      </c>
      <c r="M10" s="47">
        <f>IF($C10="","",K10*L10)</f>
        <v>350</v>
      </c>
      <c r="N10" s="48">
        <f>IF($C10="","",J10*L10)</f>
        <v>2450</v>
      </c>
      <c r="O10" s="49">
        <f>IF($C10="","",IF('Start here'!$C$23&gt;0,J10/'Start here'!$C$23,0))</f>
        <v>23.3333333333333</v>
      </c>
      <c r="P10" s="50">
        <f>IF($C10="","",IF(O10=0,"No usage",MAX(0,K10)/(O10/'Start here'!$C$26)))</f>
        <v>12.8571428571429</v>
      </c>
      <c r="Q10" s="51" t="n">
        <v>7</v>
      </c>
      <c r="R10" s="43" t="n">
        <v>15</v>
      </c>
      <c r="S10" s="45">
        <f>IF($C10="","",IF(O10=0,R10,ROUNDUP(O10/'Start here'!$C$26*Q10,0)+R10))</f>
        <v>21</v>
      </c>
      <c r="T10" s="45">
        <f>IF($C10="","",IF(U10="Reorder now",MAX(0,ROUNDUP(S10+O10/'Start here'!$C$26*'Start here'!$C$25-K10,0)),0))</f>
        <v>35</v>
      </c>
      <c r="U10" s="52" t="str">
        <f>IF($C10="","",IF(K10&lt;0,"CHECK: negative stock",IF(AND(S10&gt;0,K10&lt;=S10),"Reorder now","OK")))</f>
        <v>Reorder now</v>
      </c>
      <c r="V10" s="53" t="n">
        <v>46315</v>
      </c>
      <c r="W10" s="50">
        <f>IF($C10="","",IF(V10="","",'Start here'!$C$22-V10))</f>
        <v>11</v>
      </c>
      <c r="X10" s="52" t="str">
        <f>IF($C10="","",IF(V10="","CHECK: enter date",IF(W10&lt;0,"CHECK: after stock date",IF(AND(W10&gt;='Start here'!$C$24,K10&gt;0),"Slow-moving","Active"))))</f>
        <v>Active</v>
      </c>
    </row>
    <row r="11">
      <c r="B11" s="42" t="inlineStr">
        <is>
          <t>FG-001</t>
        </is>
      </c>
      <c r="C11" s="42" t="inlineStr">
        <is>
          <t>Steel shelf unit</t>
        </is>
      </c>
      <c r="D11" s="42" t="inlineStr">
        <is>
          <t>Finished goods</t>
        </is>
      </c>
      <c r="E11" s="42" t="inlineStr">
        <is>
          <t>unit</t>
        </is>
      </c>
      <c r="F11" s="43" t="n">
        <v>150</v>
      </c>
      <c r="G11" s="44" t="n">
        <v>420</v>
      </c>
      <c r="H11" s="43" t="n">
        <v>300</v>
      </c>
      <c r="I11" s="44" t="n">
        <v>410</v>
      </c>
      <c r="J11" s="43" t="n">
        <v>380</v>
      </c>
      <c r="K11" s="45">
        <f>IF($C11="","",F11+H11-J11)</f>
        <v>70</v>
      </c>
      <c r="L11" s="46">
        <f>IF($C11="","",IF((F11+H11)=0,G11,(F11*G11+H11*I11)/(F11+H11)))</f>
        <v>413.333333333333</v>
      </c>
      <c r="M11" s="47">
        <f>IF($C11="","",K11*L11)</f>
        <v>28933.3333333333</v>
      </c>
      <c r="N11" s="48">
        <f>IF($C11="","",J11*L11)</f>
        <v>157066.666666667</v>
      </c>
      <c r="O11" s="49">
        <f>IF($C11="","",IF('Start here'!$C$23&gt;0,J11/'Start here'!$C$23,0))</f>
        <v>126.666666666667</v>
      </c>
      <c r="P11" s="50">
        <f>IF($C11="","",IF(O11=0,"No usage",MAX(0,K11)/(O11/'Start here'!$C$26)))</f>
        <v>16.5789473684211</v>
      </c>
      <c r="Q11" s="51" t="n">
        <v>15</v>
      </c>
      <c r="R11" s="43" t="n">
        <v>40</v>
      </c>
      <c r="S11" s="45">
        <f>IF($C11="","",IF(O11=0,R11,ROUNDUP(O11/'Start here'!$C$26*Q11,0)+R11))</f>
        <v>104</v>
      </c>
      <c r="T11" s="45">
        <f>IF($C11="","",IF(U11="Reorder now",MAX(0,ROUNDUP(S11+O11/'Start here'!$C$26*'Start here'!$C$25-K11,0)),0))</f>
        <v>161</v>
      </c>
      <c r="U11" s="52" t="str">
        <f>IF($C11="","",IF(K11&lt;0,"CHECK: negative stock",IF(AND(S11&gt;0,K11&lt;=S11),"Reorder now","OK")))</f>
        <v>Reorder now</v>
      </c>
      <c r="V11" s="53" t="n">
        <v>46326</v>
      </c>
      <c r="W11" s="50">
        <f>IF($C11="","",IF(V11="","",'Start here'!$C$22-V11))</f>
        <v>0</v>
      </c>
      <c r="X11" s="52" t="str">
        <f>IF($C11="","",IF(V11="","CHECK: enter date",IF(W11&lt;0,"CHECK: after stock date",IF(AND(W11&gt;='Start here'!$C$24,K11&gt;0),"Slow-moving","Active"))))</f>
        <v>Active</v>
      </c>
    </row>
    <row r="12">
      <c r="B12" s="42" t="inlineStr">
        <is>
          <t>FG-002</t>
        </is>
      </c>
      <c r="C12" s="42" t="inlineStr">
        <is>
          <t>Aluminium window frame</t>
        </is>
      </c>
      <c r="D12" s="42" t="inlineStr">
        <is>
          <t>Finished goods</t>
        </is>
      </c>
      <c r="E12" s="42" t="inlineStr">
        <is>
          <t>unit</t>
        </is>
      </c>
      <c r="F12" s="43" t="n">
        <v>90</v>
      </c>
      <c r="G12" s="44" t="n">
        <v>650</v>
      </c>
      <c r="H12" s="43" t="n">
        <v>120</v>
      </c>
      <c r="I12" s="44" t="n">
        <v>640</v>
      </c>
      <c r="J12" s="43" t="n">
        <v>170</v>
      </c>
      <c r="K12" s="45">
        <f>IF($C12="","",F12+H12-J12)</f>
        <v>40</v>
      </c>
      <c r="L12" s="46">
        <f>IF($C12="","",IF((F12+H12)=0,G12,(F12*G12+H12*I12)/(F12+H12)))</f>
        <v>644.285714285714</v>
      </c>
      <c r="M12" s="47">
        <f>IF($C12="","",K12*L12)</f>
        <v>25771.4285714286</v>
      </c>
      <c r="N12" s="48">
        <f>IF($C12="","",J12*L12)</f>
        <v>109528.571428571</v>
      </c>
      <c r="O12" s="49">
        <f>IF($C12="","",IF('Start here'!$C$23&gt;0,J12/'Start here'!$C$23,0))</f>
        <v>56.6666666666667</v>
      </c>
      <c r="P12" s="50">
        <f>IF($C12="","",IF(O12=0,"No usage",MAX(0,K12)/(O12/'Start here'!$C$26)))</f>
        <v>21.1764705882353</v>
      </c>
      <c r="Q12" s="51" t="n">
        <v>14</v>
      </c>
      <c r="R12" s="43" t="n">
        <v>10</v>
      </c>
      <c r="S12" s="45">
        <f>IF($C12="","",IF(O12=0,R12,ROUNDUP(O12/'Start here'!$C$26*Q12,0)+R12))</f>
        <v>37</v>
      </c>
      <c r="T12" s="45">
        <f>IF($C12="","",IF(U12="Reorder now",MAX(0,ROUNDUP(S12+O12/'Start here'!$C$26*'Start here'!$C$25-K12,0)),0))</f>
        <v>0</v>
      </c>
      <c r="U12" s="52" t="str">
        <f>IF($C12="","",IF(K12&lt;0,"CHECK: negative stock",IF(AND(S12&gt;0,K12&lt;=S12),"Reorder now","OK")))</f>
        <v>OK</v>
      </c>
      <c r="V12" s="53" t="n">
        <v>46320</v>
      </c>
      <c r="W12" s="50">
        <f>IF($C12="","",IF(V12="","",'Start here'!$C$22-V12))</f>
        <v>6</v>
      </c>
      <c r="X12" s="52" t="str">
        <f>IF($C12="","",IF(V12="","CHECK: enter date",IF(W12&lt;0,"CHECK: after stock date",IF(AND(W12&gt;='Start here'!$C$24,K12&gt;0),"Slow-moving","Active"))))</f>
        <v>Active</v>
      </c>
    </row>
    <row r="13">
      <c r="B13" s="42" t="inlineStr">
        <is>
          <t>FG-003</t>
        </is>
      </c>
      <c r="C13" s="42" t="inlineStr">
        <is>
          <t>Display cabinet (old model)</t>
        </is>
      </c>
      <c r="D13" s="42" t="inlineStr">
        <is>
          <t>Finished goods</t>
        </is>
      </c>
      <c r="E13" s="42" t="inlineStr">
        <is>
          <t>unit</t>
        </is>
      </c>
      <c r="F13" s="43" t="n">
        <v>35</v>
      </c>
      <c r="G13" s="44" t="n">
        <v>900</v>
      </c>
      <c r="H13" s="43" t="n">
        <v>0</v>
      </c>
      <c r="I13" s="44" t="n">
        <v>0</v>
      </c>
      <c r="J13" s="43" t="n">
        <v>0</v>
      </c>
      <c r="K13" s="45">
        <f>IF($C13="","",F13+H13-J13)</f>
        <v>35</v>
      </c>
      <c r="L13" s="46">
        <f>IF($C13="","",IF((F13+H13)=0,G13,(F13*G13+H13*I13)/(F13+H13)))</f>
        <v>900</v>
      </c>
      <c r="M13" s="47">
        <f>IF($C13="","",K13*L13)</f>
        <v>31500</v>
      </c>
      <c r="N13" s="48">
        <f>IF($C13="","",J13*L13)</f>
        <v>0</v>
      </c>
      <c r="O13" s="49">
        <f>IF($C13="","",IF('Start here'!$C$23&gt;0,J13/'Start here'!$C$23,0))</f>
        <v>0</v>
      </c>
      <c r="P13" s="50" t="str">
        <f>IF($C13="","",IF(O13=0,"No usage",MAX(0,K13)/(O13/'Start here'!$C$26)))</f>
        <v>No usage</v>
      </c>
      <c r="Q13" s="51" t="n">
        <v>30</v>
      </c>
      <c r="R13" s="43" t="n">
        <v>0</v>
      </c>
      <c r="S13" s="45">
        <f>IF($C13="","",IF(O13=0,R13,ROUNDUP(O13/'Start here'!$C$26*Q13,0)+R13))</f>
        <v>0</v>
      </c>
      <c r="T13" s="45">
        <f>IF($C13="","",IF(U13="Reorder now",MAX(0,ROUNDUP(S13+O13/'Start here'!$C$26*'Start here'!$C$25-K13,0)),0))</f>
        <v>0</v>
      </c>
      <c r="U13" s="52" t="str">
        <f>IF($C13="","",IF(K13&lt;0,"CHECK: negative stock",IF(AND(S13&gt;0,K13&lt;=S13),"Reorder now","OK")))</f>
        <v>OK</v>
      </c>
      <c r="V13" s="53" t="n">
        <v>46154</v>
      </c>
      <c r="W13" s="50">
        <f>IF($C13="","",IF(V13="","",'Start here'!$C$22-V13))</f>
        <v>172</v>
      </c>
      <c r="X13" s="52" t="str">
        <f>IF($C13="","",IF(V13="","CHECK: enter date",IF(W13&lt;0,"CHECK: after stock date",IF(AND(W13&gt;='Start here'!$C$24,K13&gt;0),"Slow-moving","Active"))))</f>
        <v>Slow-moving</v>
      </c>
    </row>
    <row r="14">
      <c r="B14" s="42" t="inlineStr">
        <is>
          <t>SP-001</t>
        </is>
      </c>
      <c r="C14" s="42" t="inlineStr">
        <is>
          <t>Bearing 6204</t>
        </is>
      </c>
      <c r="D14" s="42" t="inlineStr">
        <is>
          <t>Spare parts</t>
        </is>
      </c>
      <c r="E14" s="42" t="inlineStr">
        <is>
          <t>piece</t>
        </is>
      </c>
      <c r="F14" s="43" t="n">
        <v>120</v>
      </c>
      <c r="G14" s="44" t="n">
        <v>18</v>
      </c>
      <c r="H14" s="43" t="n">
        <v>0</v>
      </c>
      <c r="I14" s="44" t="n">
        <v>0</v>
      </c>
      <c r="J14" s="43" t="n">
        <v>0</v>
      </c>
      <c r="K14" s="45">
        <f>IF($C14="","",F14+H14-J14)</f>
        <v>120</v>
      </c>
      <c r="L14" s="46">
        <f>IF($C14="","",IF((F14+H14)=0,G14,(F14*G14+H14*I14)/(F14+H14)))</f>
        <v>18</v>
      </c>
      <c r="M14" s="47">
        <f>IF($C14="","",K14*L14)</f>
        <v>2160</v>
      </c>
      <c r="N14" s="48">
        <f>IF($C14="","",J14*L14)</f>
        <v>0</v>
      </c>
      <c r="O14" s="49">
        <f>IF($C14="","",IF('Start here'!$C$23&gt;0,J14/'Start here'!$C$23,0))</f>
        <v>0</v>
      </c>
      <c r="P14" s="50" t="str">
        <f>IF($C14="","",IF(O14=0,"No usage",MAX(0,K14)/(O14/'Start here'!$C$26)))</f>
        <v>No usage</v>
      </c>
      <c r="Q14" s="51" t="n">
        <v>21</v>
      </c>
      <c r="R14" s="43" t="n">
        <v>20</v>
      </c>
      <c r="S14" s="45">
        <f>IF($C14="","",IF(O14=0,R14,ROUNDUP(O14/'Start here'!$C$26*Q14,0)+R14))</f>
        <v>20</v>
      </c>
      <c r="T14" s="45">
        <f>IF($C14="","",IF(U14="Reorder now",MAX(0,ROUNDUP(S14+O14/'Start here'!$C$26*'Start here'!$C$25-K14,0)),0))</f>
        <v>0</v>
      </c>
      <c r="U14" s="52" t="str">
        <f>IF($C14="","",IF(K14&lt;0,"CHECK: negative stock",IF(AND(S14&gt;0,K14&lt;=S14),"Reorder now","OK")))</f>
        <v>OK</v>
      </c>
      <c r="V14" s="53" t="n">
        <v>46213</v>
      </c>
      <c r="W14" s="50">
        <f>IF($C14="","",IF(V14="","",'Start here'!$C$22-V14))</f>
        <v>113</v>
      </c>
      <c r="X14" s="52" t="str">
        <f>IF($C14="","",IF(V14="","CHECK: enter date",IF(W14&lt;0,"CHECK: after stock date",IF(AND(W14&gt;='Start here'!$C$24,K14&gt;0),"Slow-moving","Active"))))</f>
        <v>Slow-moving</v>
      </c>
    </row>
    <row r="15">
      <c r="B15" s="42" t="inlineStr">
        <is>
          <t>SP-002</t>
        </is>
      </c>
      <c r="C15" s="42" t="inlineStr">
        <is>
          <t>Drive belt</t>
        </is>
      </c>
      <c r="D15" s="42" t="inlineStr">
        <is>
          <t>Spare parts</t>
        </is>
      </c>
      <c r="E15" s="42" t="inlineStr">
        <is>
          <t>piece</t>
        </is>
      </c>
      <c r="F15" s="43" t="n">
        <v>40</v>
      </c>
      <c r="G15" s="44" t="n">
        <v>55</v>
      </c>
      <c r="H15" s="43" t="n">
        <v>20</v>
      </c>
      <c r="I15" s="44" t="n">
        <v>58</v>
      </c>
      <c r="J15" s="43" t="n">
        <v>25</v>
      </c>
      <c r="K15" s="45">
        <f>IF($C15="","",F15+H15-J15)</f>
        <v>35</v>
      </c>
      <c r="L15" s="46">
        <f>IF($C15="","",IF((F15+H15)=0,G15,(F15*G15+H15*I15)/(F15+H15)))</f>
        <v>56</v>
      </c>
      <c r="M15" s="47">
        <f>IF($C15="","",K15*L15)</f>
        <v>1960</v>
      </c>
      <c r="N15" s="48">
        <f>IF($C15="","",J15*L15)</f>
        <v>1400</v>
      </c>
      <c r="O15" s="49">
        <f>IF($C15="","",IF('Start here'!$C$23&gt;0,J15/'Start here'!$C$23,0))</f>
        <v>8.33333333333333</v>
      </c>
      <c r="P15" s="50">
        <f>IF($C15="","",IF(O15=0,"No usage",MAX(0,K15)/(O15/'Start here'!$C$26)))</f>
        <v>126</v>
      </c>
      <c r="Q15" s="51" t="n">
        <v>21</v>
      </c>
      <c r="R15" s="43" t="n">
        <v>10</v>
      </c>
      <c r="S15" s="45">
        <f>IF($C15="","",IF(O15=0,R15,ROUNDUP(O15/'Start here'!$C$26*Q15,0)+R15))</f>
        <v>16</v>
      </c>
      <c r="T15" s="45">
        <f>IF($C15="","",IF(U15="Reorder now",MAX(0,ROUNDUP(S15+O15/'Start here'!$C$26*'Start here'!$C$25-K15,0)),0))</f>
        <v>0</v>
      </c>
      <c r="U15" s="52" t="str">
        <f>IF($C15="","",IF(K15&lt;0,"CHECK: negative stock",IF(AND(S15&gt;0,K15&lt;=S15),"Reorder now","OK")))</f>
        <v>OK</v>
      </c>
      <c r="V15" s="53" t="n">
        <v>46300</v>
      </c>
      <c r="W15" s="50">
        <f>IF($C15="","",IF(V15="","",'Start here'!$C$22-V15))</f>
        <v>26</v>
      </c>
      <c r="X15" s="52" t="str">
        <f>IF($C15="","",IF(V15="","CHECK: enter date",IF(W15&lt;0,"CHECK: after stock date",IF(AND(W15&gt;='Start here'!$C$24,K15&gt;0),"Slow-moving","Active"))))</f>
        <v>Active</v>
      </c>
    </row>
    <row r="16">
      <c r="B16" s="42" t="inlineStr">
        <is>
          <t>CN-001</t>
        </is>
      </c>
      <c r="C16" s="42" t="inlineStr">
        <is>
          <t>Welding wire 1.0 mm (15 kg spool)</t>
        </is>
      </c>
      <c r="D16" s="42" t="inlineStr">
        <is>
          <t>Consumables</t>
        </is>
      </c>
      <c r="E16" s="42" t="inlineStr">
        <is>
          <t>spool</t>
        </is>
      </c>
      <c r="F16" s="43" t="n">
        <v>50</v>
      </c>
      <c r="G16" s="44" t="n">
        <v>140</v>
      </c>
      <c r="H16" s="43" t="n">
        <v>30</v>
      </c>
      <c r="I16" s="44" t="n">
        <v>145</v>
      </c>
      <c r="J16" s="43" t="n">
        <v>48</v>
      </c>
      <c r="K16" s="45">
        <f>IF($C16="","",F16+H16-J16)</f>
        <v>32</v>
      </c>
      <c r="L16" s="46">
        <f>IF($C16="","",IF((F16+H16)=0,G16,(F16*G16+H16*I16)/(F16+H16)))</f>
        <v>141.875</v>
      </c>
      <c r="M16" s="47">
        <f>IF($C16="","",K16*L16)</f>
        <v>4540</v>
      </c>
      <c r="N16" s="48">
        <f>IF($C16="","",J16*L16)</f>
        <v>6810</v>
      </c>
      <c r="O16" s="49">
        <f>IF($C16="","",IF('Start here'!$C$23&gt;0,J16/'Start here'!$C$23,0))</f>
        <v>16</v>
      </c>
      <c r="P16" s="50">
        <f>IF($C16="","",IF(O16=0,"No usage",MAX(0,K16)/(O16/'Start here'!$C$26)))</f>
        <v>60</v>
      </c>
      <c r="Q16" s="51" t="n">
        <v>14</v>
      </c>
      <c r="R16" s="43" t="n">
        <v>8</v>
      </c>
      <c r="S16" s="45">
        <f>IF($C16="","",IF(O16=0,R16,ROUNDUP(O16/'Start here'!$C$26*Q16,0)+R16))</f>
        <v>16</v>
      </c>
      <c r="T16" s="45">
        <f>IF($C16="","",IF(U16="Reorder now",MAX(0,ROUNDUP(S16+O16/'Start here'!$C$26*'Start here'!$C$25-K16,0)),0))</f>
        <v>0</v>
      </c>
      <c r="U16" s="52" t="str">
        <f>IF($C16="","",IF(K16&lt;0,"CHECK: negative stock",IF(AND(S16&gt;0,K16&lt;=S16),"Reorder now","OK")))</f>
        <v>OK</v>
      </c>
      <c r="V16" s="53" t="n">
        <v>46317</v>
      </c>
      <c r="W16" s="50">
        <f>IF($C16="","",IF(V16="","",'Start here'!$C$22-V16))</f>
        <v>9</v>
      </c>
      <c r="X16" s="52" t="str">
        <f>IF($C16="","",IF(V16="","CHECK: enter date",IF(W16&lt;0,"CHECK: after stock date",IF(AND(W16&gt;='Start here'!$C$24,K16&gt;0),"Slow-moving","Active"))))</f>
        <v>Active</v>
      </c>
    </row>
    <row r="17">
      <c r="B17" s="42" t="inlineStr">
        <is>
          <t>CN-002</t>
        </is>
      </c>
      <c r="C17" s="42" t="inlineStr">
        <is>
          <t>Safety gloves</t>
        </is>
      </c>
      <c r="D17" s="42" t="inlineStr">
        <is>
          <t>Consumables</t>
        </is>
      </c>
      <c r="E17" s="42" t="inlineStr">
        <is>
          <t>pair</t>
        </is>
      </c>
      <c r="F17" s="43" t="n">
        <v>600</v>
      </c>
      <c r="G17" s="44" t="n">
        <v>4.5</v>
      </c>
      <c r="H17" s="43" t="n">
        <v>0</v>
      </c>
      <c r="I17" s="44" t="n">
        <v>0</v>
      </c>
      <c r="J17" s="43" t="n">
        <v>0</v>
      </c>
      <c r="K17" s="45">
        <f>IF($C17="","",F17+H17-J17)</f>
        <v>600</v>
      </c>
      <c r="L17" s="46">
        <f>IF($C17="","",IF((F17+H17)=0,G17,(F17*G17+H17*I17)/(F17+H17)))</f>
        <v>4.5</v>
      </c>
      <c r="M17" s="47">
        <f>IF($C17="","",K17*L17)</f>
        <v>2700</v>
      </c>
      <c r="N17" s="48">
        <f>IF($C17="","",J17*L17)</f>
        <v>0</v>
      </c>
      <c r="O17" s="49">
        <f>IF($C17="","",IF('Start here'!$C$23&gt;0,J17/'Start here'!$C$23,0))</f>
        <v>0</v>
      </c>
      <c r="P17" s="50" t="str">
        <f>IF($C17="","",IF(O17=0,"No usage",MAX(0,K17)/(O17/'Start here'!$C$26)))</f>
        <v>No usage</v>
      </c>
      <c r="Q17" s="51" t="n">
        <v>7</v>
      </c>
      <c r="R17" s="43" t="n">
        <v>0</v>
      </c>
      <c r="S17" s="45">
        <f>IF($C17="","",IF(O17=0,R17,ROUNDUP(O17/'Start here'!$C$26*Q17,0)+R17))</f>
        <v>0</v>
      </c>
      <c r="T17" s="45">
        <f>IF($C17="","",IF(U17="Reorder now",MAX(0,ROUNDUP(S17+O17/'Start here'!$C$26*'Start here'!$C$25-K17,0)),0))</f>
        <v>0</v>
      </c>
      <c r="U17" s="52" t="str">
        <f>IF($C17="","",IF(K17&lt;0,"CHECK: negative stock",IF(AND(S17&gt;0,K17&lt;=S17),"Reorder now","OK")))</f>
        <v>OK</v>
      </c>
      <c r="V17" s="53" t="n">
        <v>46203</v>
      </c>
      <c r="W17" s="50">
        <f>IF($C17="","",IF(V17="","",'Start here'!$C$22-V17))</f>
        <v>123</v>
      </c>
      <c r="X17" s="52" t="str">
        <f>IF($C17="","",IF(V17="","CHECK: enter date",IF(W17&lt;0,"CHECK: after stock date",IF(AND(W17&gt;='Start here'!$C$24,K17&gt;0),"Slow-moving","Active"))))</f>
        <v>Slow-moving</v>
      </c>
    </row>
    <row r="18">
      <c r="B18" s="42" t="n"/>
      <c r="C18" s="42" t="n"/>
      <c r="D18" s="42" t="n"/>
      <c r="E18" s="42" t="n"/>
      <c r="F18" s="43" t="n"/>
      <c r="G18" s="44" t="n"/>
      <c r="H18" s="43" t="n"/>
      <c r="I18" s="44" t="n"/>
      <c r="J18" s="43" t="n"/>
      <c r="K18" s="45">
        <f>IF($C18="","",F18+H18-J18)</f>
        <v/>
      </c>
      <c r="L18" s="46">
        <f>IF($C18="","",IF((F18+H18)=0,G18,(F18*G18+H18*I18)/(F18+H18)))</f>
        <v/>
      </c>
      <c r="M18" s="47">
        <f>IF($C18="","",K18*L18)</f>
        <v/>
      </c>
      <c r="N18" s="48">
        <f>IF($C18="","",J18*L18)</f>
        <v/>
      </c>
      <c r="O18" s="49">
        <f>IF($C18="","",IF('Start here'!$C$23&gt;0,J18/'Start here'!$C$23,0))</f>
        <v/>
      </c>
      <c r="P18" s="50">
        <f>IF($C18="","",IF(O18=0,"No usage",MAX(0,K18)/(O18/'Start here'!$C$26)))</f>
        <v/>
      </c>
      <c r="Q18" s="51" t="n"/>
      <c r="R18" s="43" t="n"/>
      <c r="S18" s="45">
        <f>IF($C18="","",IF(O18=0,R18,ROUNDUP(O18/'Start here'!$C$26*Q18,0)+R18))</f>
        <v/>
      </c>
      <c r="T18" s="45">
        <f>IF($C18="","",IF(U18="Reorder now",MAX(0,ROUNDUP(S18+O18/'Start here'!$C$26*'Start here'!$C$25-K18,0)),0))</f>
        <v/>
      </c>
      <c r="U18" s="52">
        <f>IF($C18="","",IF(K18&lt;0,"CHECK: negative stock",IF(AND(S18&gt;0,K18&lt;=S18),"Reorder now","OK")))</f>
        <v/>
      </c>
      <c r="V18" s="53" t="n"/>
      <c r="W18" s="50">
        <f>IF($C18="","",IF(V18="","",'Start here'!$C$22-V18))</f>
        <v/>
      </c>
      <c r="X18" s="52">
        <f>IF($C18="","",IF(V18="","CHECK: enter date",IF(W18&lt;0,"CHECK: after stock date",IF(AND(W18&gt;='Start here'!$C$24,K18&gt;0),"Slow-moving","Active"))))</f>
        <v/>
      </c>
    </row>
    <row r="19">
      <c r="B19" s="42" t="n"/>
      <c r="C19" s="42" t="n"/>
      <c r="D19" s="42" t="n"/>
      <c r="E19" s="42" t="n"/>
      <c r="F19" s="43" t="n"/>
      <c r="G19" s="44" t="n"/>
      <c r="H19" s="43" t="n"/>
      <c r="I19" s="44" t="n"/>
      <c r="J19" s="43" t="n"/>
      <c r="K19" s="45">
        <f>IF($C19="","",F19+H19-J19)</f>
        <v/>
      </c>
      <c r="L19" s="46">
        <f>IF($C19="","",IF((F19+H19)=0,G19,(F19*G19+H19*I19)/(F19+H19)))</f>
        <v/>
      </c>
      <c r="M19" s="47">
        <f>IF($C19="","",K19*L19)</f>
        <v/>
      </c>
      <c r="N19" s="48">
        <f>IF($C19="","",J19*L19)</f>
        <v/>
      </c>
      <c r="O19" s="49">
        <f>IF($C19="","",IF('Start here'!$C$23&gt;0,J19/'Start here'!$C$23,0))</f>
        <v/>
      </c>
      <c r="P19" s="50">
        <f>IF($C19="","",IF(O19=0,"No usage",MAX(0,K19)/(O19/'Start here'!$C$26)))</f>
        <v/>
      </c>
      <c r="Q19" s="51" t="n"/>
      <c r="R19" s="43" t="n"/>
      <c r="S19" s="45">
        <f>IF($C19="","",IF(O19=0,R19,ROUNDUP(O19/'Start here'!$C$26*Q19,0)+R19))</f>
        <v/>
      </c>
      <c r="T19" s="45">
        <f>IF($C19="","",IF(U19="Reorder now",MAX(0,ROUNDUP(S19+O19/'Start here'!$C$26*'Start here'!$C$25-K19,0)),0))</f>
        <v/>
      </c>
      <c r="U19" s="52">
        <f>IF($C19="","",IF(K19&lt;0,"CHECK: negative stock",IF(AND(S19&gt;0,K19&lt;=S19),"Reorder now","OK")))</f>
        <v/>
      </c>
      <c r="V19" s="53" t="n"/>
      <c r="W19" s="50">
        <f>IF($C19="","",IF(V19="","",'Start here'!$C$22-V19))</f>
        <v/>
      </c>
      <c r="X19" s="52">
        <f>IF($C19="","",IF(V19="","CHECK: enter date",IF(W19&lt;0,"CHECK: after stock date",IF(AND(W19&gt;='Start here'!$C$24,K19&gt;0),"Slow-moving","Active"))))</f>
        <v/>
      </c>
    </row>
    <row r="20">
      <c r="B20" s="42" t="n"/>
      <c r="C20" s="42" t="n"/>
      <c r="D20" s="42" t="n"/>
      <c r="E20" s="42" t="n"/>
      <c r="F20" s="43" t="n"/>
      <c r="G20" s="44" t="n"/>
      <c r="H20" s="43" t="n"/>
      <c r="I20" s="44" t="n"/>
      <c r="J20" s="43" t="n"/>
      <c r="K20" s="45">
        <f>IF($C20="","",F20+H20-J20)</f>
        <v/>
      </c>
      <c r="L20" s="46">
        <f>IF($C20="","",IF((F20+H20)=0,G20,(F20*G20+H20*I20)/(F20+H20)))</f>
        <v/>
      </c>
      <c r="M20" s="47">
        <f>IF($C20="","",K20*L20)</f>
        <v/>
      </c>
      <c r="N20" s="48">
        <f>IF($C20="","",J20*L20)</f>
        <v/>
      </c>
      <c r="O20" s="49">
        <f>IF($C20="","",IF('Start here'!$C$23&gt;0,J20/'Start here'!$C$23,0))</f>
        <v/>
      </c>
      <c r="P20" s="50">
        <f>IF($C20="","",IF(O20=0,"No usage",MAX(0,K20)/(O20/'Start here'!$C$26)))</f>
        <v/>
      </c>
      <c r="Q20" s="51" t="n"/>
      <c r="R20" s="43" t="n"/>
      <c r="S20" s="45">
        <f>IF($C20="","",IF(O20=0,R20,ROUNDUP(O20/'Start here'!$C$26*Q20,0)+R20))</f>
        <v/>
      </c>
      <c r="T20" s="45">
        <f>IF($C20="","",IF(U20="Reorder now",MAX(0,ROUNDUP(S20+O20/'Start here'!$C$26*'Start here'!$C$25-K20,0)),0))</f>
        <v/>
      </c>
      <c r="U20" s="52">
        <f>IF($C20="","",IF(K20&lt;0,"CHECK: negative stock",IF(AND(S20&gt;0,K20&lt;=S20),"Reorder now","OK")))</f>
        <v/>
      </c>
      <c r="V20" s="53" t="n"/>
      <c r="W20" s="50">
        <f>IF($C20="","",IF(V20="","",'Start here'!$C$22-V20))</f>
        <v/>
      </c>
      <c r="X20" s="52">
        <f>IF($C20="","",IF(V20="","CHECK: enter date",IF(W20&lt;0,"CHECK: after stock date",IF(AND(W20&gt;='Start here'!$C$24,K20&gt;0),"Slow-moving","Active"))))</f>
        <v/>
      </c>
    </row>
    <row r="21">
      <c r="B21" s="42" t="n"/>
      <c r="C21" s="42" t="n"/>
      <c r="D21" s="42" t="n"/>
      <c r="E21" s="42" t="n"/>
      <c r="F21" s="43" t="n"/>
      <c r="G21" s="44" t="n"/>
      <c r="H21" s="43" t="n"/>
      <c r="I21" s="44" t="n"/>
      <c r="J21" s="43" t="n"/>
      <c r="K21" s="45">
        <f>IF($C21="","",F21+H21-J21)</f>
        <v/>
      </c>
      <c r="L21" s="46">
        <f>IF($C21="","",IF((F21+H21)=0,G21,(F21*G21+H21*I21)/(F21+H21)))</f>
        <v/>
      </c>
      <c r="M21" s="47">
        <f>IF($C21="","",K21*L21)</f>
        <v/>
      </c>
      <c r="N21" s="48">
        <f>IF($C21="","",J21*L21)</f>
        <v/>
      </c>
      <c r="O21" s="49">
        <f>IF($C21="","",IF('Start here'!$C$23&gt;0,J21/'Start here'!$C$23,0))</f>
        <v/>
      </c>
      <c r="P21" s="50">
        <f>IF($C21="","",IF(O21=0,"No usage",MAX(0,K21)/(O21/'Start here'!$C$26)))</f>
        <v/>
      </c>
      <c r="Q21" s="51" t="n"/>
      <c r="R21" s="43" t="n"/>
      <c r="S21" s="45">
        <f>IF($C21="","",IF(O21=0,R21,ROUNDUP(O21/'Start here'!$C$26*Q21,0)+R21))</f>
        <v/>
      </c>
      <c r="T21" s="45">
        <f>IF($C21="","",IF(U21="Reorder now",MAX(0,ROUNDUP(S21+O21/'Start here'!$C$26*'Start here'!$C$25-K21,0)),0))</f>
        <v/>
      </c>
      <c r="U21" s="52">
        <f>IF($C21="","",IF(K21&lt;0,"CHECK: negative stock",IF(AND(S21&gt;0,K21&lt;=S21),"Reorder now","OK")))</f>
        <v/>
      </c>
      <c r="V21" s="53" t="n"/>
      <c r="W21" s="50">
        <f>IF($C21="","",IF(V21="","",'Start here'!$C$22-V21))</f>
        <v/>
      </c>
      <c r="X21" s="52">
        <f>IF($C21="","",IF(V21="","CHECK: enter date",IF(W21&lt;0,"CHECK: after stock date",IF(AND(W21&gt;='Start here'!$C$24,K21&gt;0),"Slow-moving","Active"))))</f>
        <v/>
      </c>
    </row>
    <row r="22">
      <c r="B22" s="42" t="n"/>
      <c r="C22" s="42" t="n"/>
      <c r="D22" s="42" t="n"/>
      <c r="E22" s="42" t="n"/>
      <c r="F22" s="43" t="n"/>
      <c r="G22" s="44" t="n"/>
      <c r="H22" s="43" t="n"/>
      <c r="I22" s="44" t="n"/>
      <c r="J22" s="43" t="n"/>
      <c r="K22" s="45">
        <f>IF($C22="","",F22+H22-J22)</f>
        <v/>
      </c>
      <c r="L22" s="46">
        <f>IF($C22="","",IF((F22+H22)=0,G22,(F22*G22+H22*I22)/(F22+H22)))</f>
        <v/>
      </c>
      <c r="M22" s="47">
        <f>IF($C22="","",K22*L22)</f>
        <v/>
      </c>
      <c r="N22" s="48">
        <f>IF($C22="","",J22*L22)</f>
        <v/>
      </c>
      <c r="O22" s="49">
        <f>IF($C22="","",IF('Start here'!$C$23&gt;0,J22/'Start here'!$C$23,0))</f>
        <v/>
      </c>
      <c r="P22" s="50">
        <f>IF($C22="","",IF(O22=0,"No usage",MAX(0,K22)/(O22/'Start here'!$C$26)))</f>
        <v/>
      </c>
      <c r="Q22" s="51" t="n"/>
      <c r="R22" s="43" t="n"/>
      <c r="S22" s="45">
        <f>IF($C22="","",IF(O22=0,R22,ROUNDUP(O22/'Start here'!$C$26*Q22,0)+R22))</f>
        <v/>
      </c>
      <c r="T22" s="45">
        <f>IF($C22="","",IF(U22="Reorder now",MAX(0,ROUNDUP(S22+O22/'Start here'!$C$26*'Start here'!$C$25-K22,0)),0))</f>
        <v/>
      </c>
      <c r="U22" s="52">
        <f>IF($C22="","",IF(K22&lt;0,"CHECK: negative stock",IF(AND(S22&gt;0,K22&lt;=S22),"Reorder now","OK")))</f>
        <v/>
      </c>
      <c r="V22" s="53" t="n"/>
      <c r="W22" s="50">
        <f>IF($C22="","",IF(V22="","",'Start here'!$C$22-V22))</f>
        <v/>
      </c>
      <c r="X22" s="52">
        <f>IF($C22="","",IF(V22="","CHECK: enter date",IF(W22&lt;0,"CHECK: after stock date",IF(AND(W22&gt;='Start here'!$C$24,K22&gt;0),"Slow-moving","Active"))))</f>
        <v/>
      </c>
    </row>
    <row r="23">
      <c r="B23" s="42" t="n"/>
      <c r="C23" s="42" t="n"/>
      <c r="D23" s="42" t="n"/>
      <c r="E23" s="42" t="n"/>
      <c r="F23" s="43" t="n"/>
      <c r="G23" s="44" t="n"/>
      <c r="H23" s="43" t="n"/>
      <c r="I23" s="44" t="n"/>
      <c r="J23" s="43" t="n"/>
      <c r="K23" s="45">
        <f>IF($C23="","",F23+H23-J23)</f>
        <v/>
      </c>
      <c r="L23" s="46">
        <f>IF($C23="","",IF((F23+H23)=0,G23,(F23*G23+H23*I23)/(F23+H23)))</f>
        <v/>
      </c>
      <c r="M23" s="47">
        <f>IF($C23="","",K23*L23)</f>
        <v/>
      </c>
      <c r="N23" s="48">
        <f>IF($C23="","",J23*L23)</f>
        <v/>
      </c>
      <c r="O23" s="49">
        <f>IF($C23="","",IF('Start here'!$C$23&gt;0,J23/'Start here'!$C$23,0))</f>
        <v/>
      </c>
      <c r="P23" s="50">
        <f>IF($C23="","",IF(O23=0,"No usage",MAX(0,K23)/(O23/'Start here'!$C$26)))</f>
        <v/>
      </c>
      <c r="Q23" s="51" t="n"/>
      <c r="R23" s="43" t="n"/>
      <c r="S23" s="45">
        <f>IF($C23="","",IF(O23=0,R23,ROUNDUP(O23/'Start here'!$C$26*Q23,0)+R23))</f>
        <v/>
      </c>
      <c r="T23" s="45">
        <f>IF($C23="","",IF(U23="Reorder now",MAX(0,ROUNDUP(S23+O23/'Start here'!$C$26*'Start here'!$C$25-K23,0)),0))</f>
        <v/>
      </c>
      <c r="U23" s="52">
        <f>IF($C23="","",IF(K23&lt;0,"CHECK: negative stock",IF(AND(S23&gt;0,K23&lt;=S23),"Reorder now","OK")))</f>
        <v/>
      </c>
      <c r="V23" s="53" t="n"/>
      <c r="W23" s="50">
        <f>IF($C23="","",IF(V23="","",'Start here'!$C$22-V23))</f>
        <v/>
      </c>
      <c r="X23" s="52">
        <f>IF($C23="","",IF(V23="","CHECK: enter date",IF(W23&lt;0,"CHECK: after stock date",IF(AND(W23&gt;='Start here'!$C$24,K23&gt;0),"Slow-moving","Active"))))</f>
        <v/>
      </c>
    </row>
    <row r="24">
      <c r="B24" s="42" t="n"/>
      <c r="C24" s="42" t="n"/>
      <c r="D24" s="42" t="n"/>
      <c r="E24" s="42" t="n"/>
      <c r="F24" s="43" t="n"/>
      <c r="G24" s="44" t="n"/>
      <c r="H24" s="43" t="n"/>
      <c r="I24" s="44" t="n"/>
      <c r="J24" s="43" t="n"/>
      <c r="K24" s="45">
        <f>IF($C24="","",F24+H24-J24)</f>
        <v/>
      </c>
      <c r="L24" s="46">
        <f>IF($C24="","",IF((F24+H24)=0,G24,(F24*G24+H24*I24)/(F24+H24)))</f>
        <v/>
      </c>
      <c r="M24" s="47">
        <f>IF($C24="","",K24*L24)</f>
        <v/>
      </c>
      <c r="N24" s="48">
        <f>IF($C24="","",J24*L24)</f>
        <v/>
      </c>
      <c r="O24" s="49">
        <f>IF($C24="","",IF('Start here'!$C$23&gt;0,J24/'Start here'!$C$23,0))</f>
        <v/>
      </c>
      <c r="P24" s="50">
        <f>IF($C24="","",IF(O24=0,"No usage",MAX(0,K24)/(O24/'Start here'!$C$26)))</f>
        <v/>
      </c>
      <c r="Q24" s="51" t="n"/>
      <c r="R24" s="43" t="n"/>
      <c r="S24" s="45">
        <f>IF($C24="","",IF(O24=0,R24,ROUNDUP(O24/'Start here'!$C$26*Q24,0)+R24))</f>
        <v/>
      </c>
      <c r="T24" s="45">
        <f>IF($C24="","",IF(U24="Reorder now",MAX(0,ROUNDUP(S24+O24/'Start here'!$C$26*'Start here'!$C$25-K24,0)),0))</f>
        <v/>
      </c>
      <c r="U24" s="52">
        <f>IF($C24="","",IF(K24&lt;0,"CHECK: negative stock",IF(AND(S24&gt;0,K24&lt;=S24),"Reorder now","OK")))</f>
        <v/>
      </c>
      <c r="V24" s="53" t="n"/>
      <c r="W24" s="50">
        <f>IF($C24="","",IF(V24="","",'Start here'!$C$22-V24))</f>
        <v/>
      </c>
      <c r="X24" s="52">
        <f>IF($C24="","",IF(V24="","CHECK: enter date",IF(W24&lt;0,"CHECK: after stock date",IF(AND(W24&gt;='Start here'!$C$24,K24&gt;0),"Slow-moving","Active"))))</f>
        <v/>
      </c>
    </row>
    <row r="25">
      <c r="B25" s="42" t="n"/>
      <c r="C25" s="42" t="n"/>
      <c r="D25" s="42" t="n"/>
      <c r="E25" s="42" t="n"/>
      <c r="F25" s="43" t="n"/>
      <c r="G25" s="44" t="n"/>
      <c r="H25" s="43" t="n"/>
      <c r="I25" s="44" t="n"/>
      <c r="J25" s="43" t="n"/>
      <c r="K25" s="45">
        <f>IF($C25="","",F25+H25-J25)</f>
        <v/>
      </c>
      <c r="L25" s="46">
        <f>IF($C25="","",IF((F25+H25)=0,G25,(F25*G25+H25*I25)/(F25+H25)))</f>
        <v/>
      </c>
      <c r="M25" s="47">
        <f>IF($C25="","",K25*L25)</f>
        <v/>
      </c>
      <c r="N25" s="48">
        <f>IF($C25="","",J25*L25)</f>
        <v/>
      </c>
      <c r="O25" s="49">
        <f>IF($C25="","",IF('Start here'!$C$23&gt;0,J25/'Start here'!$C$23,0))</f>
        <v/>
      </c>
      <c r="P25" s="50">
        <f>IF($C25="","",IF(O25=0,"No usage",MAX(0,K25)/(O25/'Start here'!$C$26)))</f>
        <v/>
      </c>
      <c r="Q25" s="51" t="n"/>
      <c r="R25" s="43" t="n"/>
      <c r="S25" s="45">
        <f>IF($C25="","",IF(O25=0,R25,ROUNDUP(O25/'Start here'!$C$26*Q25,0)+R25))</f>
        <v/>
      </c>
      <c r="T25" s="45">
        <f>IF($C25="","",IF(U25="Reorder now",MAX(0,ROUNDUP(S25+O25/'Start here'!$C$26*'Start here'!$C$25-K25,0)),0))</f>
        <v/>
      </c>
      <c r="U25" s="52">
        <f>IF($C25="","",IF(K25&lt;0,"CHECK: negative stock",IF(AND(S25&gt;0,K25&lt;=S25),"Reorder now","OK")))</f>
        <v/>
      </c>
      <c r="V25" s="53" t="n"/>
      <c r="W25" s="50">
        <f>IF($C25="","",IF(V25="","",'Start here'!$C$22-V25))</f>
        <v/>
      </c>
      <c r="X25" s="52">
        <f>IF($C25="","",IF(V25="","CHECK: enter date",IF(W25&lt;0,"CHECK: after stock date",IF(AND(W25&gt;='Start here'!$C$24,K25&gt;0),"Slow-moving","Active"))))</f>
        <v/>
      </c>
    </row>
    <row r="26">
      <c r="B26" s="42" t="n"/>
      <c r="C26" s="42" t="n"/>
      <c r="D26" s="42" t="n"/>
      <c r="E26" s="42" t="n"/>
      <c r="F26" s="43" t="n"/>
      <c r="G26" s="44" t="n"/>
      <c r="H26" s="43" t="n"/>
      <c r="I26" s="44" t="n"/>
      <c r="J26" s="43" t="n"/>
      <c r="K26" s="45">
        <f>IF($C26="","",F26+H26-J26)</f>
        <v/>
      </c>
      <c r="L26" s="46">
        <f>IF($C26="","",IF((F26+H26)=0,G26,(F26*G26+H26*I26)/(F26+H26)))</f>
        <v/>
      </c>
      <c r="M26" s="47">
        <f>IF($C26="","",K26*L26)</f>
        <v/>
      </c>
      <c r="N26" s="48">
        <f>IF($C26="","",J26*L26)</f>
        <v/>
      </c>
      <c r="O26" s="49">
        <f>IF($C26="","",IF('Start here'!$C$23&gt;0,J26/'Start here'!$C$23,0))</f>
        <v/>
      </c>
      <c r="P26" s="50">
        <f>IF($C26="","",IF(O26=0,"No usage",MAX(0,K26)/(O26/'Start here'!$C$26)))</f>
        <v/>
      </c>
      <c r="Q26" s="51" t="n"/>
      <c r="R26" s="43" t="n"/>
      <c r="S26" s="45">
        <f>IF($C26="","",IF(O26=0,R26,ROUNDUP(O26/'Start here'!$C$26*Q26,0)+R26))</f>
        <v/>
      </c>
      <c r="T26" s="45">
        <f>IF($C26="","",IF(U26="Reorder now",MAX(0,ROUNDUP(S26+O26/'Start here'!$C$26*'Start here'!$C$25-K26,0)),0))</f>
        <v/>
      </c>
      <c r="U26" s="52">
        <f>IF($C26="","",IF(K26&lt;0,"CHECK: negative stock",IF(AND(S26&gt;0,K26&lt;=S26),"Reorder now","OK")))</f>
        <v/>
      </c>
      <c r="V26" s="53" t="n"/>
      <c r="W26" s="50">
        <f>IF($C26="","",IF(V26="","",'Start here'!$C$22-V26))</f>
        <v/>
      </c>
      <c r="X26" s="52">
        <f>IF($C26="","",IF(V26="","CHECK: enter date",IF(W26&lt;0,"CHECK: after stock date",IF(AND(W26&gt;='Start here'!$C$24,K26&gt;0),"Slow-moving","Active"))))</f>
        <v/>
      </c>
    </row>
    <row r="27">
      <c r="B27" s="42" t="n"/>
      <c r="C27" s="42" t="n"/>
      <c r="D27" s="42" t="n"/>
      <c r="E27" s="42" t="n"/>
      <c r="F27" s="43" t="n"/>
      <c r="G27" s="44" t="n"/>
      <c r="H27" s="43" t="n"/>
      <c r="I27" s="44" t="n"/>
      <c r="J27" s="43" t="n"/>
      <c r="K27" s="45">
        <f>IF($C27="","",F27+H27-J27)</f>
        <v/>
      </c>
      <c r="L27" s="46">
        <f>IF($C27="","",IF((F27+H27)=0,G27,(F27*G27+H27*I27)/(F27+H27)))</f>
        <v/>
      </c>
      <c r="M27" s="47">
        <f>IF($C27="","",K27*L27)</f>
        <v/>
      </c>
      <c r="N27" s="48">
        <f>IF($C27="","",J27*L27)</f>
        <v/>
      </c>
      <c r="O27" s="49">
        <f>IF($C27="","",IF('Start here'!$C$23&gt;0,J27/'Start here'!$C$23,0))</f>
        <v/>
      </c>
      <c r="P27" s="50">
        <f>IF($C27="","",IF(O27=0,"No usage",MAX(0,K27)/(O27/'Start here'!$C$26)))</f>
        <v/>
      </c>
      <c r="Q27" s="51" t="n"/>
      <c r="R27" s="43" t="n"/>
      <c r="S27" s="45">
        <f>IF($C27="","",IF(O27=0,R27,ROUNDUP(O27/'Start here'!$C$26*Q27,0)+R27))</f>
        <v/>
      </c>
      <c r="T27" s="45">
        <f>IF($C27="","",IF(U27="Reorder now",MAX(0,ROUNDUP(S27+O27/'Start here'!$C$26*'Start here'!$C$25-K27,0)),0))</f>
        <v/>
      </c>
      <c r="U27" s="52">
        <f>IF($C27="","",IF(K27&lt;0,"CHECK: negative stock",IF(AND(S27&gt;0,K27&lt;=S27),"Reorder now","OK")))</f>
        <v/>
      </c>
      <c r="V27" s="53" t="n"/>
      <c r="W27" s="50">
        <f>IF($C27="","",IF(V27="","",'Start here'!$C$22-V27))</f>
        <v/>
      </c>
      <c r="X27" s="52">
        <f>IF($C27="","",IF(V27="","CHECK: enter date",IF(W27&lt;0,"CHECK: after stock date",IF(AND(W27&gt;='Start here'!$C$24,K27&gt;0),"Slow-moving","Active"))))</f>
        <v/>
      </c>
    </row>
    <row r="28">
      <c r="B28" s="42" t="n"/>
      <c r="C28" s="42" t="n"/>
      <c r="D28" s="42" t="n"/>
      <c r="E28" s="42" t="n"/>
      <c r="F28" s="43" t="n"/>
      <c r="G28" s="44" t="n"/>
      <c r="H28" s="43" t="n"/>
      <c r="I28" s="44" t="n"/>
      <c r="J28" s="43" t="n"/>
      <c r="K28" s="45">
        <f>IF($C28="","",F28+H28-J28)</f>
        <v/>
      </c>
      <c r="L28" s="46">
        <f>IF($C28="","",IF((F28+H28)=0,G28,(F28*G28+H28*I28)/(F28+H28)))</f>
        <v/>
      </c>
      <c r="M28" s="47">
        <f>IF($C28="","",K28*L28)</f>
        <v/>
      </c>
      <c r="N28" s="48">
        <f>IF($C28="","",J28*L28)</f>
        <v/>
      </c>
      <c r="O28" s="49">
        <f>IF($C28="","",IF('Start here'!$C$23&gt;0,J28/'Start here'!$C$23,0))</f>
        <v/>
      </c>
      <c r="P28" s="50">
        <f>IF($C28="","",IF(O28=0,"No usage",MAX(0,K28)/(O28/'Start here'!$C$26)))</f>
        <v/>
      </c>
      <c r="Q28" s="51" t="n"/>
      <c r="R28" s="43" t="n"/>
      <c r="S28" s="45">
        <f>IF($C28="","",IF(O28=0,R28,ROUNDUP(O28/'Start here'!$C$26*Q28,0)+R28))</f>
        <v/>
      </c>
      <c r="T28" s="45">
        <f>IF($C28="","",IF(U28="Reorder now",MAX(0,ROUNDUP(S28+O28/'Start here'!$C$26*'Start here'!$C$25-K28,0)),0))</f>
        <v/>
      </c>
      <c r="U28" s="52">
        <f>IF($C28="","",IF(K28&lt;0,"CHECK: negative stock",IF(AND(S28&gt;0,K28&lt;=S28),"Reorder now","OK")))</f>
        <v/>
      </c>
      <c r="V28" s="53" t="n"/>
      <c r="W28" s="50">
        <f>IF($C28="","",IF(V28="","",'Start here'!$C$22-V28))</f>
        <v/>
      </c>
      <c r="X28" s="52">
        <f>IF($C28="","",IF(V28="","CHECK: enter date",IF(W28&lt;0,"CHECK: after stock date",IF(AND(W28&gt;='Start here'!$C$24,K28&gt;0),"Slow-moving","Active"))))</f>
        <v/>
      </c>
    </row>
    <row r="29">
      <c r="B29" s="42" t="n"/>
      <c r="C29" s="42" t="n"/>
      <c r="D29" s="42" t="n"/>
      <c r="E29" s="42" t="n"/>
      <c r="F29" s="43" t="n"/>
      <c r="G29" s="44" t="n"/>
      <c r="H29" s="43" t="n"/>
      <c r="I29" s="44" t="n"/>
      <c r="J29" s="43" t="n"/>
      <c r="K29" s="45">
        <f>IF($C29="","",F29+H29-J29)</f>
        <v/>
      </c>
      <c r="L29" s="46">
        <f>IF($C29="","",IF((F29+H29)=0,G29,(F29*G29+H29*I29)/(F29+H29)))</f>
        <v/>
      </c>
      <c r="M29" s="47">
        <f>IF($C29="","",K29*L29)</f>
        <v/>
      </c>
      <c r="N29" s="48">
        <f>IF($C29="","",J29*L29)</f>
        <v/>
      </c>
      <c r="O29" s="49">
        <f>IF($C29="","",IF('Start here'!$C$23&gt;0,J29/'Start here'!$C$23,0))</f>
        <v/>
      </c>
      <c r="P29" s="50">
        <f>IF($C29="","",IF(O29=0,"No usage",MAX(0,K29)/(O29/'Start here'!$C$26)))</f>
        <v/>
      </c>
      <c r="Q29" s="51" t="n"/>
      <c r="R29" s="43" t="n"/>
      <c r="S29" s="45">
        <f>IF($C29="","",IF(O29=0,R29,ROUNDUP(O29/'Start here'!$C$26*Q29,0)+R29))</f>
        <v/>
      </c>
      <c r="T29" s="45">
        <f>IF($C29="","",IF(U29="Reorder now",MAX(0,ROUNDUP(S29+O29/'Start here'!$C$26*'Start here'!$C$25-K29,0)),0))</f>
        <v/>
      </c>
      <c r="U29" s="52">
        <f>IF($C29="","",IF(K29&lt;0,"CHECK: negative stock",IF(AND(S29&gt;0,K29&lt;=S29),"Reorder now","OK")))</f>
        <v/>
      </c>
      <c r="V29" s="53" t="n"/>
      <c r="W29" s="50">
        <f>IF($C29="","",IF(V29="","",'Start here'!$C$22-V29))</f>
        <v/>
      </c>
      <c r="X29" s="52">
        <f>IF($C29="","",IF(V29="","CHECK: enter date",IF(W29&lt;0,"CHECK: after stock date",IF(AND(W29&gt;='Start here'!$C$24,K29&gt;0),"Slow-moving","Active"))))</f>
        <v/>
      </c>
    </row>
    <row r="30">
      <c r="B30" s="42" t="n"/>
      <c r="C30" s="42" t="n"/>
      <c r="D30" s="42" t="n"/>
      <c r="E30" s="42" t="n"/>
      <c r="F30" s="43" t="n"/>
      <c r="G30" s="44" t="n"/>
      <c r="H30" s="43" t="n"/>
      <c r="I30" s="44" t="n"/>
      <c r="J30" s="43" t="n"/>
      <c r="K30" s="45">
        <f>IF($C30="","",F30+H30-J30)</f>
        <v/>
      </c>
      <c r="L30" s="46">
        <f>IF($C30="","",IF((F30+H30)=0,G30,(F30*G30+H30*I30)/(F30+H30)))</f>
        <v/>
      </c>
      <c r="M30" s="47">
        <f>IF($C30="","",K30*L30)</f>
        <v/>
      </c>
      <c r="N30" s="48">
        <f>IF($C30="","",J30*L30)</f>
        <v/>
      </c>
      <c r="O30" s="49">
        <f>IF($C30="","",IF('Start here'!$C$23&gt;0,J30/'Start here'!$C$23,0))</f>
        <v/>
      </c>
      <c r="P30" s="50">
        <f>IF($C30="","",IF(O30=0,"No usage",MAX(0,K30)/(O30/'Start here'!$C$26)))</f>
        <v/>
      </c>
      <c r="Q30" s="51" t="n"/>
      <c r="R30" s="43" t="n"/>
      <c r="S30" s="45">
        <f>IF($C30="","",IF(O30=0,R30,ROUNDUP(O30/'Start here'!$C$26*Q30,0)+R30))</f>
        <v/>
      </c>
      <c r="T30" s="45">
        <f>IF($C30="","",IF(U30="Reorder now",MAX(0,ROUNDUP(S30+O30/'Start here'!$C$26*'Start here'!$C$25-K30,0)),0))</f>
        <v/>
      </c>
      <c r="U30" s="52">
        <f>IF($C30="","",IF(K30&lt;0,"CHECK: negative stock",IF(AND(S30&gt;0,K30&lt;=S30),"Reorder now","OK")))</f>
        <v/>
      </c>
      <c r="V30" s="53" t="n"/>
      <c r="W30" s="50">
        <f>IF($C30="","",IF(V30="","",'Start here'!$C$22-V30))</f>
        <v/>
      </c>
      <c r="X30" s="52">
        <f>IF($C30="","",IF(V30="","CHECK: enter date",IF(W30&lt;0,"CHECK: after stock date",IF(AND(W30&gt;='Start here'!$C$24,K30&gt;0),"Slow-moving","Active"))))</f>
        <v/>
      </c>
    </row>
    <row r="31">
      <c r="B31" s="42" t="n"/>
      <c r="C31" s="42" t="n"/>
      <c r="D31" s="42" t="n"/>
      <c r="E31" s="42" t="n"/>
      <c r="F31" s="43" t="n"/>
      <c r="G31" s="44" t="n"/>
      <c r="H31" s="43" t="n"/>
      <c r="I31" s="44" t="n"/>
      <c r="J31" s="43" t="n"/>
      <c r="K31" s="45">
        <f>IF($C31="","",F31+H31-J31)</f>
        <v/>
      </c>
      <c r="L31" s="46">
        <f>IF($C31="","",IF((F31+H31)=0,G31,(F31*G31+H31*I31)/(F31+H31)))</f>
        <v/>
      </c>
      <c r="M31" s="47">
        <f>IF($C31="","",K31*L31)</f>
        <v/>
      </c>
      <c r="N31" s="48">
        <f>IF($C31="","",J31*L31)</f>
        <v/>
      </c>
      <c r="O31" s="49">
        <f>IF($C31="","",IF('Start here'!$C$23&gt;0,J31/'Start here'!$C$23,0))</f>
        <v/>
      </c>
      <c r="P31" s="50">
        <f>IF($C31="","",IF(O31=0,"No usage",MAX(0,K31)/(O31/'Start here'!$C$26)))</f>
        <v/>
      </c>
      <c r="Q31" s="51" t="n"/>
      <c r="R31" s="43" t="n"/>
      <c r="S31" s="45">
        <f>IF($C31="","",IF(O31=0,R31,ROUNDUP(O31/'Start here'!$C$26*Q31,0)+R31))</f>
        <v/>
      </c>
      <c r="T31" s="45">
        <f>IF($C31="","",IF(U31="Reorder now",MAX(0,ROUNDUP(S31+O31/'Start here'!$C$26*'Start here'!$C$25-K31,0)),0))</f>
        <v/>
      </c>
      <c r="U31" s="52">
        <f>IF($C31="","",IF(K31&lt;0,"CHECK: negative stock",IF(AND(S31&gt;0,K31&lt;=S31),"Reorder now","OK")))</f>
        <v/>
      </c>
      <c r="V31" s="53" t="n"/>
      <c r="W31" s="50">
        <f>IF($C31="","",IF(V31="","",'Start here'!$C$22-V31))</f>
        <v/>
      </c>
      <c r="X31" s="52">
        <f>IF($C31="","",IF(V31="","CHECK: enter date",IF(W31&lt;0,"CHECK: after stock date",IF(AND(W31&gt;='Start here'!$C$24,K31&gt;0),"Slow-moving","Active"))))</f>
        <v/>
      </c>
    </row>
    <row r="32">
      <c r="B32" s="42" t="n"/>
      <c r="C32" s="42" t="n"/>
      <c r="D32" s="42" t="n"/>
      <c r="E32" s="42" t="n"/>
      <c r="F32" s="43" t="n"/>
      <c r="G32" s="44" t="n"/>
      <c r="H32" s="43" t="n"/>
      <c r="I32" s="44" t="n"/>
      <c r="J32" s="43" t="n"/>
      <c r="K32" s="45">
        <f>IF($C32="","",F32+H32-J32)</f>
        <v/>
      </c>
      <c r="L32" s="46">
        <f>IF($C32="","",IF((F32+H32)=0,G32,(F32*G32+H32*I32)/(F32+H32)))</f>
        <v/>
      </c>
      <c r="M32" s="47">
        <f>IF($C32="","",K32*L32)</f>
        <v/>
      </c>
      <c r="N32" s="48">
        <f>IF($C32="","",J32*L32)</f>
        <v/>
      </c>
      <c r="O32" s="49">
        <f>IF($C32="","",IF('Start here'!$C$23&gt;0,J32/'Start here'!$C$23,0))</f>
        <v/>
      </c>
      <c r="P32" s="50">
        <f>IF($C32="","",IF(O32=0,"No usage",MAX(0,K32)/(O32/'Start here'!$C$26)))</f>
        <v/>
      </c>
      <c r="Q32" s="51" t="n"/>
      <c r="R32" s="43" t="n"/>
      <c r="S32" s="45">
        <f>IF($C32="","",IF(O32=0,R32,ROUNDUP(O32/'Start here'!$C$26*Q32,0)+R32))</f>
        <v/>
      </c>
      <c r="T32" s="45">
        <f>IF($C32="","",IF(U32="Reorder now",MAX(0,ROUNDUP(S32+O32/'Start here'!$C$26*'Start here'!$C$25-K32,0)),0))</f>
        <v/>
      </c>
      <c r="U32" s="52">
        <f>IF($C32="","",IF(K32&lt;0,"CHECK: negative stock",IF(AND(S32&gt;0,K32&lt;=S32),"Reorder now","OK")))</f>
        <v/>
      </c>
      <c r="V32" s="53" t="n"/>
      <c r="W32" s="50">
        <f>IF($C32="","",IF(V32="","",'Start here'!$C$22-V32))</f>
        <v/>
      </c>
      <c r="X32" s="52">
        <f>IF($C32="","",IF(V32="","CHECK: enter date",IF(W32&lt;0,"CHECK: after stock date",IF(AND(W32&gt;='Start here'!$C$24,K32&gt;0),"Slow-moving","Active"))))</f>
        <v/>
      </c>
    </row>
    <row r="33">
      <c r="B33" s="42" t="n"/>
      <c r="C33" s="42" t="n"/>
      <c r="D33" s="42" t="n"/>
      <c r="E33" s="42" t="n"/>
      <c r="F33" s="43" t="n"/>
      <c r="G33" s="44" t="n"/>
      <c r="H33" s="43" t="n"/>
      <c r="I33" s="44" t="n"/>
      <c r="J33" s="43" t="n"/>
      <c r="K33" s="45">
        <f>IF($C33="","",F33+H33-J33)</f>
        <v/>
      </c>
      <c r="L33" s="46">
        <f>IF($C33="","",IF((F33+H33)=0,G33,(F33*G33+H33*I33)/(F33+H33)))</f>
        <v/>
      </c>
      <c r="M33" s="47">
        <f>IF($C33="","",K33*L33)</f>
        <v/>
      </c>
      <c r="N33" s="48">
        <f>IF($C33="","",J33*L33)</f>
        <v/>
      </c>
      <c r="O33" s="49">
        <f>IF($C33="","",IF('Start here'!$C$23&gt;0,J33/'Start here'!$C$23,0))</f>
        <v/>
      </c>
      <c r="P33" s="50">
        <f>IF($C33="","",IF(O33=0,"No usage",MAX(0,K33)/(O33/'Start here'!$C$26)))</f>
        <v/>
      </c>
      <c r="Q33" s="51" t="n"/>
      <c r="R33" s="43" t="n"/>
      <c r="S33" s="45">
        <f>IF($C33="","",IF(O33=0,R33,ROUNDUP(O33/'Start here'!$C$26*Q33,0)+R33))</f>
        <v/>
      </c>
      <c r="T33" s="45">
        <f>IF($C33="","",IF(U33="Reorder now",MAX(0,ROUNDUP(S33+O33/'Start here'!$C$26*'Start here'!$C$25-K33,0)),0))</f>
        <v/>
      </c>
      <c r="U33" s="52">
        <f>IF($C33="","",IF(K33&lt;0,"CHECK: negative stock",IF(AND(S33&gt;0,K33&lt;=S33),"Reorder now","OK")))</f>
        <v/>
      </c>
      <c r="V33" s="53" t="n"/>
      <c r="W33" s="50">
        <f>IF($C33="","",IF(V33="","",'Start here'!$C$22-V33))</f>
        <v/>
      </c>
      <c r="X33" s="52">
        <f>IF($C33="","",IF(V33="","CHECK: enter date",IF(W33&lt;0,"CHECK: after stock date",IF(AND(W33&gt;='Start here'!$C$24,K33&gt;0),"Slow-moving","Active"))))</f>
        <v/>
      </c>
    </row>
    <row r="34">
      <c r="B34" s="42" t="n"/>
      <c r="C34" s="42" t="n"/>
      <c r="D34" s="42" t="n"/>
      <c r="E34" s="42" t="n"/>
      <c r="F34" s="43" t="n"/>
      <c r="G34" s="44" t="n"/>
      <c r="H34" s="43" t="n"/>
      <c r="I34" s="44" t="n"/>
      <c r="J34" s="43" t="n"/>
      <c r="K34" s="45">
        <f>IF($C34="","",F34+H34-J34)</f>
        <v/>
      </c>
      <c r="L34" s="46">
        <f>IF($C34="","",IF((F34+H34)=0,G34,(F34*G34+H34*I34)/(F34+H34)))</f>
        <v/>
      </c>
      <c r="M34" s="47">
        <f>IF($C34="","",K34*L34)</f>
        <v/>
      </c>
      <c r="N34" s="48">
        <f>IF($C34="","",J34*L34)</f>
        <v/>
      </c>
      <c r="O34" s="49">
        <f>IF($C34="","",IF('Start here'!$C$23&gt;0,J34/'Start here'!$C$23,0))</f>
        <v/>
      </c>
      <c r="P34" s="50">
        <f>IF($C34="","",IF(O34=0,"No usage",MAX(0,K34)/(O34/'Start here'!$C$26)))</f>
        <v/>
      </c>
      <c r="Q34" s="51" t="n"/>
      <c r="R34" s="43" t="n"/>
      <c r="S34" s="45">
        <f>IF($C34="","",IF(O34=0,R34,ROUNDUP(O34/'Start here'!$C$26*Q34,0)+R34))</f>
        <v/>
      </c>
      <c r="T34" s="45">
        <f>IF($C34="","",IF(U34="Reorder now",MAX(0,ROUNDUP(S34+O34/'Start here'!$C$26*'Start here'!$C$25-K34,0)),0))</f>
        <v/>
      </c>
      <c r="U34" s="52">
        <f>IF($C34="","",IF(K34&lt;0,"CHECK: negative stock",IF(AND(S34&gt;0,K34&lt;=S34),"Reorder now","OK")))</f>
        <v/>
      </c>
      <c r="V34" s="53" t="n"/>
      <c r="W34" s="50">
        <f>IF($C34="","",IF(V34="","",'Start here'!$C$22-V34))</f>
        <v/>
      </c>
      <c r="X34" s="52">
        <f>IF($C34="","",IF(V34="","CHECK: enter date",IF(W34&lt;0,"CHECK: after stock date",IF(AND(W34&gt;='Start here'!$C$24,K34&gt;0),"Slow-moving","Active"))))</f>
        <v/>
      </c>
    </row>
    <row r="35">
      <c r="B35" s="42" t="n"/>
      <c r="C35" s="42" t="n"/>
      <c r="D35" s="42" t="n"/>
      <c r="E35" s="42" t="n"/>
      <c r="F35" s="43" t="n"/>
      <c r="G35" s="44" t="n"/>
      <c r="H35" s="43" t="n"/>
      <c r="I35" s="44" t="n"/>
      <c r="J35" s="43" t="n"/>
      <c r="K35" s="45">
        <f>IF($C35="","",F35+H35-J35)</f>
        <v/>
      </c>
      <c r="L35" s="46">
        <f>IF($C35="","",IF((F35+H35)=0,G35,(F35*G35+H35*I35)/(F35+H35)))</f>
        <v/>
      </c>
      <c r="M35" s="47">
        <f>IF($C35="","",K35*L35)</f>
        <v/>
      </c>
      <c r="N35" s="48">
        <f>IF($C35="","",J35*L35)</f>
        <v/>
      </c>
      <c r="O35" s="49">
        <f>IF($C35="","",IF('Start here'!$C$23&gt;0,J35/'Start here'!$C$23,0))</f>
        <v/>
      </c>
      <c r="P35" s="50">
        <f>IF($C35="","",IF(O35=0,"No usage",MAX(0,K35)/(O35/'Start here'!$C$26)))</f>
        <v/>
      </c>
      <c r="Q35" s="51" t="n"/>
      <c r="R35" s="43" t="n"/>
      <c r="S35" s="45">
        <f>IF($C35="","",IF(O35=0,R35,ROUNDUP(O35/'Start here'!$C$26*Q35,0)+R35))</f>
        <v/>
      </c>
      <c r="T35" s="45">
        <f>IF($C35="","",IF(U35="Reorder now",MAX(0,ROUNDUP(S35+O35/'Start here'!$C$26*'Start here'!$C$25-K35,0)),0))</f>
        <v/>
      </c>
      <c r="U35" s="52">
        <f>IF($C35="","",IF(K35&lt;0,"CHECK: negative stock",IF(AND(S35&gt;0,K35&lt;=S35),"Reorder now","OK")))</f>
        <v/>
      </c>
      <c r="V35" s="53" t="n"/>
      <c r="W35" s="50">
        <f>IF($C35="","",IF(V35="","",'Start here'!$C$22-V35))</f>
        <v/>
      </c>
      <c r="X35" s="52">
        <f>IF($C35="","",IF(V35="","CHECK: enter date",IF(W35&lt;0,"CHECK: after stock date",IF(AND(W35&gt;='Start here'!$C$24,K35&gt;0),"Slow-moving","Active"))))</f>
        <v/>
      </c>
    </row>
    <row r="36">
      <c r="B36" s="42" t="n"/>
      <c r="C36" s="42" t="n"/>
      <c r="D36" s="42" t="n"/>
      <c r="E36" s="42" t="n"/>
      <c r="F36" s="43" t="n"/>
      <c r="G36" s="44" t="n"/>
      <c r="H36" s="43" t="n"/>
      <c r="I36" s="44" t="n"/>
      <c r="J36" s="43" t="n"/>
      <c r="K36" s="45">
        <f>IF($C36="","",F36+H36-J36)</f>
        <v/>
      </c>
      <c r="L36" s="46">
        <f>IF($C36="","",IF((F36+H36)=0,G36,(F36*G36+H36*I36)/(F36+H36)))</f>
        <v/>
      </c>
      <c r="M36" s="47">
        <f>IF($C36="","",K36*L36)</f>
        <v/>
      </c>
      <c r="N36" s="48">
        <f>IF($C36="","",J36*L36)</f>
        <v/>
      </c>
      <c r="O36" s="49">
        <f>IF($C36="","",IF('Start here'!$C$23&gt;0,J36/'Start here'!$C$23,0))</f>
        <v/>
      </c>
      <c r="P36" s="50">
        <f>IF($C36="","",IF(O36=0,"No usage",MAX(0,K36)/(O36/'Start here'!$C$26)))</f>
        <v/>
      </c>
      <c r="Q36" s="51" t="n"/>
      <c r="R36" s="43" t="n"/>
      <c r="S36" s="45">
        <f>IF($C36="","",IF(O36=0,R36,ROUNDUP(O36/'Start here'!$C$26*Q36,0)+R36))</f>
        <v/>
      </c>
      <c r="T36" s="45">
        <f>IF($C36="","",IF(U36="Reorder now",MAX(0,ROUNDUP(S36+O36/'Start here'!$C$26*'Start here'!$C$25-K36,0)),0))</f>
        <v/>
      </c>
      <c r="U36" s="52">
        <f>IF($C36="","",IF(K36&lt;0,"CHECK: negative stock",IF(AND(S36&gt;0,K36&lt;=S36),"Reorder now","OK")))</f>
        <v/>
      </c>
      <c r="V36" s="53" t="n"/>
      <c r="W36" s="50">
        <f>IF($C36="","",IF(V36="","",'Start here'!$C$22-V36))</f>
        <v/>
      </c>
      <c r="X36" s="52">
        <f>IF($C36="","",IF(V36="","CHECK: enter date",IF(W36&lt;0,"CHECK: after stock date",IF(AND(W36&gt;='Start here'!$C$24,K36&gt;0),"Slow-moving","Active"))))</f>
        <v/>
      </c>
    </row>
    <row r="37">
      <c r="B37" s="42" t="n"/>
      <c r="C37" s="42" t="n"/>
      <c r="D37" s="42" t="n"/>
      <c r="E37" s="42" t="n"/>
      <c r="F37" s="43" t="n"/>
      <c r="G37" s="44" t="n"/>
      <c r="H37" s="43" t="n"/>
      <c r="I37" s="44" t="n"/>
      <c r="J37" s="43" t="n"/>
      <c r="K37" s="45">
        <f>IF($C37="","",F37+H37-J37)</f>
        <v/>
      </c>
      <c r="L37" s="46">
        <f>IF($C37="","",IF((F37+H37)=0,G37,(F37*G37+H37*I37)/(F37+H37)))</f>
        <v/>
      </c>
      <c r="M37" s="47">
        <f>IF($C37="","",K37*L37)</f>
        <v/>
      </c>
      <c r="N37" s="48">
        <f>IF($C37="","",J37*L37)</f>
        <v/>
      </c>
      <c r="O37" s="49">
        <f>IF($C37="","",IF('Start here'!$C$23&gt;0,J37/'Start here'!$C$23,0))</f>
        <v/>
      </c>
      <c r="P37" s="50">
        <f>IF($C37="","",IF(O37=0,"No usage",MAX(0,K37)/(O37/'Start here'!$C$26)))</f>
        <v/>
      </c>
      <c r="Q37" s="51" t="n"/>
      <c r="R37" s="43" t="n"/>
      <c r="S37" s="45">
        <f>IF($C37="","",IF(O37=0,R37,ROUNDUP(O37/'Start here'!$C$26*Q37,0)+R37))</f>
        <v/>
      </c>
      <c r="T37" s="45">
        <f>IF($C37="","",IF(U37="Reorder now",MAX(0,ROUNDUP(S37+O37/'Start here'!$C$26*'Start here'!$C$25-K37,0)),0))</f>
        <v/>
      </c>
      <c r="U37" s="52">
        <f>IF($C37="","",IF(K37&lt;0,"CHECK: negative stock",IF(AND(S37&gt;0,K37&lt;=S37),"Reorder now","OK")))</f>
        <v/>
      </c>
      <c r="V37" s="53" t="n"/>
      <c r="W37" s="50">
        <f>IF($C37="","",IF(V37="","",'Start here'!$C$22-V37))</f>
        <v/>
      </c>
      <c r="X37" s="52">
        <f>IF($C37="","",IF(V37="","CHECK: enter date",IF(W37&lt;0,"CHECK: after stock date",IF(AND(W37&gt;='Start here'!$C$24,K37&gt;0),"Slow-moving","Active"))))</f>
        <v/>
      </c>
    </row>
    <row r="38">
      <c r="B38" s="42" t="n"/>
      <c r="C38" s="42" t="n"/>
      <c r="D38" s="42" t="n"/>
      <c r="E38" s="42" t="n"/>
      <c r="F38" s="43" t="n"/>
      <c r="G38" s="44" t="n"/>
      <c r="H38" s="43" t="n"/>
      <c r="I38" s="44" t="n"/>
      <c r="J38" s="43" t="n"/>
      <c r="K38" s="45">
        <f>IF($C38="","",F38+H38-J38)</f>
        <v/>
      </c>
      <c r="L38" s="46">
        <f>IF($C38="","",IF((F38+H38)=0,G38,(F38*G38+H38*I38)/(F38+H38)))</f>
        <v/>
      </c>
      <c r="M38" s="47">
        <f>IF($C38="","",K38*L38)</f>
        <v/>
      </c>
      <c r="N38" s="48">
        <f>IF($C38="","",J38*L38)</f>
        <v/>
      </c>
      <c r="O38" s="49">
        <f>IF($C38="","",IF('Start here'!$C$23&gt;0,J38/'Start here'!$C$23,0))</f>
        <v/>
      </c>
      <c r="P38" s="50">
        <f>IF($C38="","",IF(O38=0,"No usage",MAX(0,K38)/(O38/'Start here'!$C$26)))</f>
        <v/>
      </c>
      <c r="Q38" s="51" t="n"/>
      <c r="R38" s="43" t="n"/>
      <c r="S38" s="45">
        <f>IF($C38="","",IF(O38=0,R38,ROUNDUP(O38/'Start here'!$C$26*Q38,0)+R38))</f>
        <v/>
      </c>
      <c r="T38" s="45">
        <f>IF($C38="","",IF(U38="Reorder now",MAX(0,ROUNDUP(S38+O38/'Start here'!$C$26*'Start here'!$C$25-K38,0)),0))</f>
        <v/>
      </c>
      <c r="U38" s="52">
        <f>IF($C38="","",IF(K38&lt;0,"CHECK: negative stock",IF(AND(S38&gt;0,K38&lt;=S38),"Reorder now","OK")))</f>
        <v/>
      </c>
      <c r="V38" s="53" t="n"/>
      <c r="W38" s="50">
        <f>IF($C38="","",IF(V38="","",'Start here'!$C$22-V38))</f>
        <v/>
      </c>
      <c r="X38" s="52">
        <f>IF($C38="","",IF(V38="","CHECK: enter date",IF(W38&lt;0,"CHECK: after stock date",IF(AND(W38&gt;='Start here'!$C$24,K38&gt;0),"Slow-moving","Active"))))</f>
        <v/>
      </c>
    </row>
    <row r="39">
      <c r="B39" s="42" t="n"/>
      <c r="C39" s="42" t="n"/>
      <c r="D39" s="42" t="n"/>
      <c r="E39" s="42" t="n"/>
      <c r="F39" s="43" t="n"/>
      <c r="G39" s="44" t="n"/>
      <c r="H39" s="43" t="n"/>
      <c r="I39" s="44" t="n"/>
      <c r="J39" s="43" t="n"/>
      <c r="K39" s="45">
        <f>IF($C39="","",F39+H39-J39)</f>
        <v/>
      </c>
      <c r="L39" s="46">
        <f>IF($C39="","",IF((F39+H39)=0,G39,(F39*G39+H39*I39)/(F39+H39)))</f>
        <v/>
      </c>
      <c r="M39" s="47">
        <f>IF($C39="","",K39*L39)</f>
        <v/>
      </c>
      <c r="N39" s="48">
        <f>IF($C39="","",J39*L39)</f>
        <v/>
      </c>
      <c r="O39" s="49">
        <f>IF($C39="","",IF('Start here'!$C$23&gt;0,J39/'Start here'!$C$23,0))</f>
        <v/>
      </c>
      <c r="P39" s="50">
        <f>IF($C39="","",IF(O39=0,"No usage",MAX(0,K39)/(O39/'Start here'!$C$26)))</f>
        <v/>
      </c>
      <c r="Q39" s="51" t="n"/>
      <c r="R39" s="43" t="n"/>
      <c r="S39" s="45">
        <f>IF($C39="","",IF(O39=0,R39,ROUNDUP(O39/'Start here'!$C$26*Q39,0)+R39))</f>
        <v/>
      </c>
      <c r="T39" s="45">
        <f>IF($C39="","",IF(U39="Reorder now",MAX(0,ROUNDUP(S39+O39/'Start here'!$C$26*'Start here'!$C$25-K39,0)),0))</f>
        <v/>
      </c>
      <c r="U39" s="52">
        <f>IF($C39="","",IF(K39&lt;0,"CHECK: negative stock",IF(AND(S39&gt;0,K39&lt;=S39),"Reorder now","OK")))</f>
        <v/>
      </c>
      <c r="V39" s="53" t="n"/>
      <c r="W39" s="50">
        <f>IF($C39="","",IF(V39="","",'Start here'!$C$22-V39))</f>
        <v/>
      </c>
      <c r="X39" s="52">
        <f>IF($C39="","",IF(V39="","CHECK: enter date",IF(W39&lt;0,"CHECK: after stock date",IF(AND(W39&gt;='Start here'!$C$24,K39&gt;0),"Slow-moving","Active"))))</f>
        <v/>
      </c>
    </row>
    <row r="40">
      <c r="B40" s="42" t="n"/>
      <c r="C40" s="42" t="n"/>
      <c r="D40" s="42" t="n"/>
      <c r="E40" s="42" t="n"/>
      <c r="F40" s="43" t="n"/>
      <c r="G40" s="44" t="n"/>
      <c r="H40" s="43" t="n"/>
      <c r="I40" s="44" t="n"/>
      <c r="J40" s="43" t="n"/>
      <c r="K40" s="45">
        <f>IF($C40="","",F40+H40-J40)</f>
        <v/>
      </c>
      <c r="L40" s="46">
        <f>IF($C40="","",IF((F40+H40)=0,G40,(F40*G40+H40*I40)/(F40+H40)))</f>
        <v/>
      </c>
      <c r="M40" s="47">
        <f>IF($C40="","",K40*L40)</f>
        <v/>
      </c>
      <c r="N40" s="48">
        <f>IF($C40="","",J40*L40)</f>
        <v/>
      </c>
      <c r="O40" s="49">
        <f>IF($C40="","",IF('Start here'!$C$23&gt;0,J40/'Start here'!$C$23,0))</f>
        <v/>
      </c>
      <c r="P40" s="50">
        <f>IF($C40="","",IF(O40=0,"No usage",MAX(0,K40)/(O40/'Start here'!$C$26)))</f>
        <v/>
      </c>
      <c r="Q40" s="51" t="n"/>
      <c r="R40" s="43" t="n"/>
      <c r="S40" s="45">
        <f>IF($C40="","",IF(O40=0,R40,ROUNDUP(O40/'Start here'!$C$26*Q40,0)+R40))</f>
        <v/>
      </c>
      <c r="T40" s="45">
        <f>IF($C40="","",IF(U40="Reorder now",MAX(0,ROUNDUP(S40+O40/'Start here'!$C$26*'Start here'!$C$25-K40,0)),0))</f>
        <v/>
      </c>
      <c r="U40" s="52">
        <f>IF($C40="","",IF(K40&lt;0,"CHECK: negative stock",IF(AND(S40&gt;0,K40&lt;=S40),"Reorder now","OK")))</f>
        <v/>
      </c>
      <c r="V40" s="53" t="n"/>
      <c r="W40" s="50">
        <f>IF($C40="","",IF(V40="","",'Start here'!$C$22-V40))</f>
        <v/>
      </c>
      <c r="X40" s="52">
        <f>IF($C40="","",IF(V40="","CHECK: enter date",IF(W40&lt;0,"CHECK: after stock date",IF(AND(W40&gt;='Start here'!$C$24,K40&gt;0),"Slow-moving","Active"))))</f>
        <v/>
      </c>
    </row>
    <row r="41">
      <c r="B41" s="42" t="n"/>
      <c r="C41" s="42" t="n"/>
      <c r="D41" s="42" t="n"/>
      <c r="E41" s="42" t="n"/>
      <c r="F41" s="43" t="n"/>
      <c r="G41" s="44" t="n"/>
      <c r="H41" s="43" t="n"/>
      <c r="I41" s="44" t="n"/>
      <c r="J41" s="43" t="n"/>
      <c r="K41" s="45">
        <f>IF($C41="","",F41+H41-J41)</f>
        <v/>
      </c>
      <c r="L41" s="46">
        <f>IF($C41="","",IF((F41+H41)=0,G41,(F41*G41+H41*I41)/(F41+H41)))</f>
        <v/>
      </c>
      <c r="M41" s="47">
        <f>IF($C41="","",K41*L41)</f>
        <v/>
      </c>
      <c r="N41" s="48">
        <f>IF($C41="","",J41*L41)</f>
        <v/>
      </c>
      <c r="O41" s="49">
        <f>IF($C41="","",IF('Start here'!$C$23&gt;0,J41/'Start here'!$C$23,0))</f>
        <v/>
      </c>
      <c r="P41" s="50">
        <f>IF($C41="","",IF(O41=0,"No usage",MAX(0,K41)/(O41/'Start here'!$C$26)))</f>
        <v/>
      </c>
      <c r="Q41" s="51" t="n"/>
      <c r="R41" s="43" t="n"/>
      <c r="S41" s="45">
        <f>IF($C41="","",IF(O41=0,R41,ROUNDUP(O41/'Start here'!$C$26*Q41,0)+R41))</f>
        <v/>
      </c>
      <c r="T41" s="45">
        <f>IF($C41="","",IF(U41="Reorder now",MAX(0,ROUNDUP(S41+O41/'Start here'!$C$26*'Start here'!$C$25-K41,0)),0))</f>
        <v/>
      </c>
      <c r="U41" s="52">
        <f>IF($C41="","",IF(K41&lt;0,"CHECK: negative stock",IF(AND(S41&gt;0,K41&lt;=S41),"Reorder now","OK")))</f>
        <v/>
      </c>
      <c r="V41" s="53" t="n"/>
      <c r="W41" s="50">
        <f>IF($C41="","",IF(V41="","",'Start here'!$C$22-V41))</f>
        <v/>
      </c>
      <c r="X41" s="52">
        <f>IF($C41="","",IF(V41="","CHECK: enter date",IF(W41&lt;0,"CHECK: after stock date",IF(AND(W41&gt;='Start here'!$C$24,K41&gt;0),"Slow-moving","Active"))))</f>
        <v/>
      </c>
    </row>
    <row r="42">
      <c r="B42" s="42" t="n"/>
      <c r="C42" s="42" t="n"/>
      <c r="D42" s="42" t="n"/>
      <c r="E42" s="42" t="n"/>
      <c r="F42" s="43" t="n"/>
      <c r="G42" s="44" t="n"/>
      <c r="H42" s="43" t="n"/>
      <c r="I42" s="44" t="n"/>
      <c r="J42" s="43" t="n"/>
      <c r="K42" s="45">
        <f>IF($C42="","",F42+H42-J42)</f>
        <v/>
      </c>
      <c r="L42" s="46">
        <f>IF($C42="","",IF((F42+H42)=0,G42,(F42*G42+H42*I42)/(F42+H42)))</f>
        <v/>
      </c>
      <c r="M42" s="47">
        <f>IF($C42="","",K42*L42)</f>
        <v/>
      </c>
      <c r="N42" s="48">
        <f>IF($C42="","",J42*L42)</f>
        <v/>
      </c>
      <c r="O42" s="49">
        <f>IF($C42="","",IF('Start here'!$C$23&gt;0,J42/'Start here'!$C$23,0))</f>
        <v/>
      </c>
      <c r="P42" s="50">
        <f>IF($C42="","",IF(O42=0,"No usage",MAX(0,K42)/(O42/'Start here'!$C$26)))</f>
        <v/>
      </c>
      <c r="Q42" s="51" t="n"/>
      <c r="R42" s="43" t="n"/>
      <c r="S42" s="45">
        <f>IF($C42="","",IF(O42=0,R42,ROUNDUP(O42/'Start here'!$C$26*Q42,0)+R42))</f>
        <v/>
      </c>
      <c r="T42" s="45">
        <f>IF($C42="","",IF(U42="Reorder now",MAX(0,ROUNDUP(S42+O42/'Start here'!$C$26*'Start here'!$C$25-K42,0)),0))</f>
        <v/>
      </c>
      <c r="U42" s="52">
        <f>IF($C42="","",IF(K42&lt;0,"CHECK: negative stock",IF(AND(S42&gt;0,K42&lt;=S42),"Reorder now","OK")))</f>
        <v/>
      </c>
      <c r="V42" s="53" t="n"/>
      <c r="W42" s="50">
        <f>IF($C42="","",IF(V42="","",'Start here'!$C$22-V42))</f>
        <v/>
      </c>
      <c r="X42" s="52">
        <f>IF($C42="","",IF(V42="","CHECK: enter date",IF(W42&lt;0,"CHECK: after stock date",IF(AND(W42&gt;='Start here'!$C$24,K42&gt;0),"Slow-moving","Active"))))</f>
        <v/>
      </c>
    </row>
    <row r="43">
      <c r="B43" s="42" t="n"/>
      <c r="C43" s="42" t="n"/>
      <c r="D43" s="42" t="n"/>
      <c r="E43" s="42" t="n"/>
      <c r="F43" s="43" t="n"/>
      <c r="G43" s="44" t="n"/>
      <c r="H43" s="43" t="n"/>
      <c r="I43" s="44" t="n"/>
      <c r="J43" s="43" t="n"/>
      <c r="K43" s="45">
        <f>IF($C43="","",F43+H43-J43)</f>
        <v/>
      </c>
      <c r="L43" s="46">
        <f>IF($C43="","",IF((F43+H43)=0,G43,(F43*G43+H43*I43)/(F43+H43)))</f>
        <v/>
      </c>
      <c r="M43" s="47">
        <f>IF($C43="","",K43*L43)</f>
        <v/>
      </c>
      <c r="N43" s="48">
        <f>IF($C43="","",J43*L43)</f>
        <v/>
      </c>
      <c r="O43" s="49">
        <f>IF($C43="","",IF('Start here'!$C$23&gt;0,J43/'Start here'!$C$23,0))</f>
        <v/>
      </c>
      <c r="P43" s="50">
        <f>IF($C43="","",IF(O43=0,"No usage",MAX(0,K43)/(O43/'Start here'!$C$26)))</f>
        <v/>
      </c>
      <c r="Q43" s="51" t="n"/>
      <c r="R43" s="43" t="n"/>
      <c r="S43" s="45">
        <f>IF($C43="","",IF(O43=0,R43,ROUNDUP(O43/'Start here'!$C$26*Q43,0)+R43))</f>
        <v/>
      </c>
      <c r="T43" s="45">
        <f>IF($C43="","",IF(U43="Reorder now",MAX(0,ROUNDUP(S43+O43/'Start here'!$C$26*'Start here'!$C$25-K43,0)),0))</f>
        <v/>
      </c>
      <c r="U43" s="52">
        <f>IF($C43="","",IF(K43&lt;0,"CHECK: negative stock",IF(AND(S43&gt;0,K43&lt;=S43),"Reorder now","OK")))</f>
        <v/>
      </c>
      <c r="V43" s="53" t="n"/>
      <c r="W43" s="50">
        <f>IF($C43="","",IF(V43="","",'Start here'!$C$22-V43))</f>
        <v/>
      </c>
      <c r="X43" s="52">
        <f>IF($C43="","",IF(V43="","CHECK: enter date",IF(W43&lt;0,"CHECK: after stock date",IF(AND(W43&gt;='Start here'!$C$24,K43&gt;0),"Slow-moving","Active"))))</f>
        <v/>
      </c>
    </row>
    <row r="44">
      <c r="B44" s="42" t="n"/>
      <c r="C44" s="42" t="n"/>
      <c r="D44" s="42" t="n"/>
      <c r="E44" s="42" t="n"/>
      <c r="F44" s="43" t="n"/>
      <c r="G44" s="44" t="n"/>
      <c r="H44" s="43" t="n"/>
      <c r="I44" s="44" t="n"/>
      <c r="J44" s="43" t="n"/>
      <c r="K44" s="45">
        <f>IF($C44="","",F44+H44-J44)</f>
        <v/>
      </c>
      <c r="L44" s="46">
        <f>IF($C44="","",IF((F44+H44)=0,G44,(F44*G44+H44*I44)/(F44+H44)))</f>
        <v/>
      </c>
      <c r="M44" s="47">
        <f>IF($C44="","",K44*L44)</f>
        <v/>
      </c>
      <c r="N44" s="48">
        <f>IF($C44="","",J44*L44)</f>
        <v/>
      </c>
      <c r="O44" s="49">
        <f>IF($C44="","",IF('Start here'!$C$23&gt;0,J44/'Start here'!$C$23,0))</f>
        <v/>
      </c>
      <c r="P44" s="50">
        <f>IF($C44="","",IF(O44=0,"No usage",MAX(0,K44)/(O44/'Start here'!$C$26)))</f>
        <v/>
      </c>
      <c r="Q44" s="51" t="n"/>
      <c r="R44" s="43" t="n"/>
      <c r="S44" s="45">
        <f>IF($C44="","",IF(O44=0,R44,ROUNDUP(O44/'Start here'!$C$26*Q44,0)+R44))</f>
        <v/>
      </c>
      <c r="T44" s="45">
        <f>IF($C44="","",IF(U44="Reorder now",MAX(0,ROUNDUP(S44+O44/'Start here'!$C$26*'Start here'!$C$25-K44,0)),0))</f>
        <v/>
      </c>
      <c r="U44" s="52">
        <f>IF($C44="","",IF(K44&lt;0,"CHECK: negative stock",IF(AND(S44&gt;0,K44&lt;=S44),"Reorder now","OK")))</f>
        <v/>
      </c>
      <c r="V44" s="53" t="n"/>
      <c r="W44" s="50">
        <f>IF($C44="","",IF(V44="","",'Start here'!$C$22-V44))</f>
        <v/>
      </c>
      <c r="X44" s="52">
        <f>IF($C44="","",IF(V44="","CHECK: enter date",IF(W44&lt;0,"CHECK: after stock date",IF(AND(W44&gt;='Start here'!$C$24,K44&gt;0),"Slow-moving","Active"))))</f>
        <v/>
      </c>
    </row>
    <row r="45">
      <c r="B45" s="42" t="n"/>
      <c r="C45" s="42" t="n"/>
      <c r="D45" s="42" t="n"/>
      <c r="E45" s="42" t="n"/>
      <c r="F45" s="43" t="n"/>
      <c r="G45" s="44" t="n"/>
      <c r="H45" s="43" t="n"/>
      <c r="I45" s="44" t="n"/>
      <c r="J45" s="43" t="n"/>
      <c r="K45" s="45">
        <f>IF($C45="","",F45+H45-J45)</f>
        <v/>
      </c>
      <c r="L45" s="46">
        <f>IF($C45="","",IF((F45+H45)=0,G45,(F45*G45+H45*I45)/(F45+H45)))</f>
        <v/>
      </c>
      <c r="M45" s="47">
        <f>IF($C45="","",K45*L45)</f>
        <v/>
      </c>
      <c r="N45" s="48">
        <f>IF($C45="","",J45*L45)</f>
        <v/>
      </c>
      <c r="O45" s="49">
        <f>IF($C45="","",IF('Start here'!$C$23&gt;0,J45/'Start here'!$C$23,0))</f>
        <v/>
      </c>
      <c r="P45" s="50">
        <f>IF($C45="","",IF(O45=0,"No usage",MAX(0,K45)/(O45/'Start here'!$C$26)))</f>
        <v/>
      </c>
      <c r="Q45" s="51" t="n"/>
      <c r="R45" s="43" t="n"/>
      <c r="S45" s="45">
        <f>IF($C45="","",IF(O45=0,R45,ROUNDUP(O45/'Start here'!$C$26*Q45,0)+R45))</f>
        <v/>
      </c>
      <c r="T45" s="45">
        <f>IF($C45="","",IF(U45="Reorder now",MAX(0,ROUNDUP(S45+O45/'Start here'!$C$26*'Start here'!$C$25-K45,0)),0))</f>
        <v/>
      </c>
      <c r="U45" s="52">
        <f>IF($C45="","",IF(K45&lt;0,"CHECK: negative stock",IF(AND(S45&gt;0,K45&lt;=S45),"Reorder now","OK")))</f>
        <v/>
      </c>
      <c r="V45" s="53" t="n"/>
      <c r="W45" s="50">
        <f>IF($C45="","",IF(V45="","",'Start here'!$C$22-V45))</f>
        <v/>
      </c>
      <c r="X45" s="52">
        <f>IF($C45="","",IF(V45="","CHECK: enter date",IF(W45&lt;0,"CHECK: after stock date",IF(AND(W45&gt;='Start here'!$C$24,K45&gt;0),"Slow-moving","Active"))))</f>
        <v/>
      </c>
    </row>
    <row r="46">
      <c r="B46" s="35" t="inlineStr">
        <is>
          <t>Total</t>
        </is>
      </c>
      <c r="C46" s="35" t="n"/>
      <c r="D46" s="35" t="n"/>
      <c r="E46" s="35" t="n"/>
      <c r="F46" s="35" t="n"/>
      <c r="G46" s="35" t="n"/>
      <c r="H46" s="35" t="n"/>
      <c r="I46" s="35" t="n"/>
      <c r="J46" s="35" t="n"/>
      <c r="K46" s="35" t="n"/>
      <c r="L46" s="35" t="n"/>
      <c r="M46" s="37">
        <f>SUM(M6:M45)</f>
        <v>137420.443722944</v>
      </c>
      <c r="N46" s="37">
        <f>SUM(N6:N45)</f>
        <v>392749.556277056</v>
      </c>
      <c r="O46" s="35" t="n"/>
      <c r="P46" s="35" t="n"/>
      <c r="Q46" s="35" t="n"/>
      <c r="R46" s="35" t="n"/>
      <c r="S46" s="35" t="n"/>
      <c r="T46" s="35" t="n"/>
      <c r="U46" s="54" t="str">
        <f>COUNTIF(U6:U45,"Reorder now")&amp;" to reorder"</f>
        <v>3 to reorder</v>
      </c>
      <c r="V46" s="35" t="n"/>
      <c r="W46" s="35" t="n"/>
      <c r="X46" s="54" t="str">
        <f>COUNTIF(X6:X45,"Slow-moving")&amp;" slow-moving"</f>
        <v>3 slow-moving</v>
      </c>
    </row>
    <row r="48">
      <c r="B48" s="19" t="inlineStr">
        <is>
          <t>Example figures are made up for illustration. Not financial, tax or legal advice.</t>
        </is>
      </c>
    </row>
    <row r="49">
      <c r="B49" s="20" t="inlineStr">
        <is>
          <t>axcellservice.com · Free template · Book a free 30-minute consultation: axcellservice.com/contact</t>
        </is>
      </c>
    </row>
  </sheetData>
  <autoFilter ref="B5:X45"/>
  <conditionalFormatting sqref="U6:U45">
    <cfRule type="cellIs" priority="1" operator="equal" dxfId="0">
      <formula>"Reorder now"</formula>
    </cfRule>
    <cfRule type="expression" priority="2" dxfId="3">
      <formula>LEFT(U6,5)="CHECK"</formula>
    </cfRule>
  </conditionalFormatting>
  <conditionalFormatting sqref="X6:X45">
    <cfRule type="cellIs" priority="3" operator="equal" dxfId="1">
      <formula>"Slow-moving"</formula>
    </cfRule>
    <cfRule type="expression" priority="4" dxfId="3">
      <formula>LEFT(X6,5)="CHECK"</formula>
    </cfRule>
  </conditionalFormatting>
  <conditionalFormatting sqref="K6:K45">
    <cfRule type="cellIs" priority="5" operator="lessThan" dxfId="4">
      <formula>0</formula>
    </cfRule>
  </conditionalFormatting>
  <dataValidations count="3">
    <dataValidation sqref="D6 D7 D8 D9 D10 D11 D12 D13 D14 D15 D16 D17 D18 D19 D20 D21 D22 D23 D24 D25 D26 D27 D28 D29 D30 D31 D32 D33 D34 D35 D36 D37 D38 D39 D40 D41 D42 D43 D44 D45" showDropDown="0" showInputMessage="0" showErrorMessage="1" allowBlank="1" errorTitle="Category" error="Pick a category from the list." type="list">
      <formula1>"Raw material,Packaging,Finished goods,Spare parts,Consumables,Other"</formula1>
    </dataValidation>
    <dataValidation sqref="F6 F7 F8 F9 F10 F11 F12 F13 F14 F15 F16 F17 F18 F19 F20 F21 F22 F23 F24 F25 F26 F27 F28 F29 F30 F31 F32 F33 F34 F35 F36 F37 F38 F39 F40 F41 F42 F43 F44 F45 G6 G7 G8 G9 G10 G11 G12 G13 G14 G15 G16 G17 G18 G19 G20 G21 G22 G23 G24 G25 G26 G27 G28 G29 G30 G31 G32 G33 G34 G35 G36 G37 G38 G39 G40 G41 G42 G43 G44 G45 H6 H7 H8 H9 H10 H11 H12 H13 H14 H15 H16 H17 H18 H19 H20 H21 H22 H23 H24 H25 H26 H27 H28 H29 H30 H31 H32 H33 H34 H35 H36 H37 H38 H39 H40 H41 H42 H43 H44 H45 I6 I7 I8 I9 I10 I11 I12 I13 I14 I15 I16 I17 I18 I19 I20 I21 I22 I23 I24 I25 I26 I27 I28 I29 I30 I31 I32 I33 I34 I35 I36 I37 I38 I39 I40 I41 I42 I43 I44 I45 J6 J7 J8 J9 J10 J11 J12 J13 J14 J15 J16 J17 J18 J19 J20 J21 J22 J23 J24 J25 J26 J27 J28 J29 J30 J31 J32 J33 J34 J35 J36 J37 J38 J39 J40 J41 J42 J43 J44 J45 Q6 Q7 Q8 Q9 Q10 Q11 Q12 Q13 Q14 Q15 Q16 Q17 Q18 Q19 Q20 Q21 Q22 Q23 Q24 Q25 Q26 Q27 Q28 Q29 Q30 Q31 Q32 Q33 Q34 Q35 Q36 Q37 Q38 Q39 Q40 Q41 Q42 Q43 Q44 Q45 R6 R7 R8 R9 R10 R11 R12 R13 R14 R15 R16 R17 R18 R19 R20 R21 R22 R23 R24 R25 R26 R27 R28 R29 R30 R31 R32 R33 R34 R35 R36 R37 R38 R39 R40 R41 R42 R43 R44 R45" showDropDown="0" showInputMessage="0" showErrorMessage="1" allowBlank="1" errorTitle="Positive numbers" error="Enter zero or a positive number." type="decimal" operator="greaterThanOrEqual">
      <formula1>0</formula1>
    </dataValidation>
    <dataValidation sqref="V6 V7 V8 V9 V10 V11 V12 V13 V14 V15 V16 V17 V18 V19 V20 V21 V22 V23 V24 V25 V26 V27 V28 V29 V30 V31 V32 V33 V34 V35 V36 V37 V38 V39 V40 V41 V42 V43 V44 V45" showDropDown="0" showInputMessage="0" showErrorMessage="1" allowBlank="1" errorTitle="Date needed" error="Enter the date the item last moved, e.g. 28/10/2026." type="date" operator="greaterThan">
      <formula1>36526</formula1>
    </dataValidation>
  </dataValidations>
  <printOptions horizontalCentered="1"/>
  <pageMargins left="0.4" right="0.4" top="1" bottom="1" header="0.5" footer="0.5"/>
  <pageSetup orientation="landscape" paperSize="9" fitToHeight="0" fitToWidth="1"/>
  <headerFooter>
    <oddHeader/>
    <oddFooter>&amp;L&amp;8 Axcell Financial Consulting · axcellservice.com · Free template&amp;R&amp;8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Axcell Financial Consulting</dc:creator>
  <dc:title xmlns:dc="http://purl.org/dc/elements/1.1/">Inventory Control &amp; Reorder</dc:title>
  <dcterms:created xmlns:dcterms="http://purl.org/dc/terms/" xmlns:xsi="http://www.w3.org/2001/XMLSchema-instance" xsi:type="dcterms:W3CDTF">2026-11-05T09:07:46Z</dcterms:created>
  <dcterms:modified xmlns:dcterms="http://purl.org/dc/terms/" xmlns:xsi="http://www.w3.org/2001/XMLSchema-instance" xsi:type="dcterms:W3CDTF">2026-11-05T09:07:46Z</dcterms:modified>
</cp:coreProperties>
</file>