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KPI scorecard" sheetId="3" state="visible" r:id="rId3"/>
    <sheet xmlns:r="http://schemas.openxmlformats.org/officeDocument/2006/relationships" name="Monthly inputs" sheetId="4" state="visible" r:id="rId4"/>
    <sheet xmlns:r="http://schemas.openxmlformats.org/officeDocument/2006/relationships" name="KPI guide" sheetId="5" state="visible" r:id="rId5"/>
  </sheets>
  <definedNames>
    <definedName name="_xlnm.Print_Area" localSheetId="1">'Summary'!$A$1:$J$29</definedName>
    <definedName name="_xlnm.Print_Titles" localSheetId="2">'KPI scorecard'!$5:$6</definedName>
    <definedName name="_xlnm.Print_Area" localSheetId="2">'KPI scorecard'!$A$1:$R$36</definedName>
    <definedName name="_xlnm.Print_Titles" localSheetId="3">'Monthly inputs'!$5:$6</definedName>
    <definedName name="_xlnm.Print_Area" localSheetId="3">'Monthly inputs'!$A$1:$O$31</definedName>
    <definedName name="_xlnm.Print_Area" localSheetId="4">'KPI guide'!$A$1:$E$19</definedName>
  </definedNames>
  <calcPr calcId="124519" fullCalcOnLoad="1"/>
</workbook>
</file>

<file path=xl/styles.xml><?xml version="1.0" encoding="utf-8"?>
<styleSheet xmlns="http://schemas.openxmlformats.org/spreadsheetml/2006/main">
  <numFmts count="15">
    <numFmt numFmtId="164" formatCode="yyyy-mm-dd"/>
    <numFmt numFmtId="165" formatCode="dd mmm yyyy"/>
    <numFmt numFmtId="166" formatCode="#,##0;(#,##0);&quot;-&quot;"/>
    <numFmt numFmtId="167" formatCode="mmm yy"/>
    <numFmt numFmtId="168" formatCode="0.0"/>
    <numFmt numFmtId="169" formatCode="0.0%;(0.0%);&quot;-&quot;"/>
    <numFmt numFmtId="170" formatCode="0.00;(0.00);&quot;-&quot;"/>
    <numFmt numFmtId="171" formatCode="0;(0);&quot;-&quot;"/>
    <numFmt numFmtId="172" formatCode="[&gt;=99]&quot;No burn&quot;;0.0"/>
    <numFmt numFmtId="173" formatCode="mmmm yyyy"/>
    <numFmt numFmtId="174" formatCode="+0.0%;-0.0%;0.0%"/>
    <numFmt numFmtId="175" formatCode="+0.00;-0.00;0.00"/>
    <numFmt numFmtId="176" formatCode="+0;-0;0"/>
    <numFmt numFmtId="177" formatCode="+#,##0;-#,##0;0"/>
    <numFmt numFmtId="178" formatCode="+0.0;-0.0;0.0"/>
  </numFmts>
  <fonts count="19">
    <font>
      <name val="Calibri"/>
      <family val="2"/>
      <color theme="1"/>
      <sz val="11"/>
      <scheme val="minor"/>
    </font>
    <font>
      <name val="Arial"/>
      <b val="1"/>
      <color rgb="00CC1923"/>
      <sz val="18"/>
    </font>
    <font>
      <name val="Arial"/>
      <b val="1"/>
      <color rgb="00111111"/>
      <sz val="11"/>
    </font>
    <font>
      <name val="Arial"/>
      <i val="1"/>
      <color rgb="00666666"/>
      <sz val="10"/>
    </font>
    <font>
      <name val="Arial"/>
      <b val="1"/>
      <color rgb="00FFFFFF"/>
    </font>
    <font>
      <name val="Arial"/>
      <b val="1"/>
    </font>
    <font>
      <name val="Arial"/>
    </font>
    <font>
      <name val="Arial"/>
      <color rgb="000000FF"/>
    </font>
    <font>
      <name val="Arial"/>
      <b val="1"/>
      <color rgb="00006100"/>
    </font>
    <font>
      <name val="Arial"/>
      <b val="1"/>
      <color rgb="009C5700"/>
    </font>
    <font>
      <name val="Arial"/>
      <b val="1"/>
      <color rgb="009C0006"/>
    </font>
    <font>
      <name val="Arial"/>
      <color rgb="00666666"/>
      <sz val="9"/>
    </font>
    <font>
      <name val="Arial"/>
      <i val="1"/>
      <color rgb="00666666"/>
      <sz val="9"/>
    </font>
    <font>
      <name val="Arial"/>
      <b val="1"/>
      <color rgb="00CC1923"/>
      <sz val="9"/>
    </font>
    <font>
      <name val="Arial"/>
      <b val="1"/>
      <color rgb="00CC1923"/>
      <sz val="16"/>
    </font>
    <font>
      <name val="Arial"/>
      <b val="1"/>
      <color rgb="00CC1923"/>
    </font>
    <font>
      <name val="Arial"/>
      <b val="1"/>
      <color rgb="00CC1923"/>
      <sz val="12"/>
    </font>
    <font>
      <name val="Arial"/>
      <b val="1"/>
      <sz val="14"/>
    </font>
    <font>
      <name val="Arial"/>
      <b val="1"/>
      <sz val="12"/>
    </font>
  </fonts>
  <fills count="8">
    <fill>
      <patternFill/>
    </fill>
    <fill>
      <patternFill patternType="gray125"/>
    </fill>
    <fill>
      <patternFill patternType="solid">
        <fgColor rgb="00111111"/>
      </patternFill>
    </fill>
    <fill>
      <patternFill patternType="solid">
        <fgColor rgb="00FFFF99"/>
      </patternFill>
    </fill>
    <fill>
      <patternFill patternType="solid">
        <fgColor rgb="00C6EFCE"/>
      </patternFill>
    </fill>
    <fill>
      <patternFill patternType="solid">
        <fgColor rgb="00FFEB9C"/>
      </patternFill>
    </fill>
    <fill>
      <patternFill patternType="solid">
        <fgColor rgb="00FFC7CE"/>
      </patternFill>
    </fill>
    <fill>
      <patternFill patternType="solid">
        <fgColor rgb="00F0EEEA"/>
      </patternFill>
    </fill>
  </fills>
  <borders count="3">
    <border>
      <left/>
      <right/>
      <top/>
      <bottom/>
      <diagonal/>
    </border>
    <border>
      <bottom style="thin">
        <color rgb="00BFBFBF"/>
      </bottom>
    </border>
    <border>
      <top style="thin">
        <color rgb="00111111"/>
      </top>
      <bottom style="thin">
        <color rgb="00BFBFBF"/>
      </bottom>
    </border>
  </borders>
  <cellStyleXfs count="1">
    <xf numFmtId="0" fontId="0" fillId="0" borderId="0"/>
  </cellStyleXfs>
  <cellXfs count="8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7" fillId="3" borderId="0" applyAlignment="1" pivotButton="0" quotePrefix="0" xfId="0">
      <alignment horizontal="center"/>
    </xf>
    <xf numFmtId="0" fontId="6" fillId="0" borderId="0" pivotButton="0" quotePrefix="0" xfId="0"/>
    <xf numFmtId="0" fontId="6" fillId="0" borderId="0" applyAlignment="1" pivotButton="0" quotePrefix="0" xfId="0">
      <alignment horizontal="center"/>
    </xf>
    <xf numFmtId="0" fontId="8" fillId="4" borderId="0" applyAlignment="1" pivotButton="0" quotePrefix="0" xfId="0">
      <alignment horizontal="center"/>
    </xf>
    <xf numFmtId="0" fontId="9" fillId="5" borderId="0" applyAlignment="1" pivotButton="0" quotePrefix="0" xfId="0">
      <alignment horizontal="center"/>
    </xf>
    <xf numFmtId="0" fontId="10" fillId="6" borderId="0" applyAlignment="1" pivotButton="0" quotePrefix="0" xfId="0">
      <alignment horizontal="center"/>
    </xf>
    <xf numFmtId="0" fontId="6" fillId="0" borderId="1" applyAlignment="1" pivotButton="0" quotePrefix="0" xfId="0">
      <alignment vertical="top"/>
    </xf>
    <xf numFmtId="0" fontId="7" fillId="3" borderId="1" applyAlignment="1" pivotButton="0" quotePrefix="0" xfId="0">
      <alignment horizontal="left" vertical="top"/>
    </xf>
    <xf numFmtId="0" fontId="11" fillId="0" borderId="1" applyAlignment="1" pivotButton="0" quotePrefix="0" xfId="0">
      <alignment vertical="top" wrapText="1"/>
    </xf>
    <xf numFmtId="165" fontId="7" fillId="3" borderId="1" applyAlignment="1" pivotButton="0" quotePrefix="0" xfId="0">
      <alignment horizontal="left" vertical="top"/>
    </xf>
    <xf numFmtId="166" fontId="7" fillId="3" borderId="1" applyAlignment="1" pivotButton="0" quotePrefix="0" xfId="0">
      <alignment horizontal="left" vertical="top"/>
    </xf>
    <xf numFmtId="0" fontId="12" fillId="0" borderId="0" pivotButton="0" quotePrefix="0" xfId="0"/>
    <xf numFmtId="0" fontId="13" fillId="0" borderId="0" pivotButton="0" quotePrefix="0" xfId="0"/>
    <xf numFmtId="0" fontId="14" fillId="0" borderId="0" pivotButton="0" quotePrefix="0" xfId="0"/>
    <xf numFmtId="0" fontId="11" fillId="0" borderId="0" pivotButton="0" quotePrefix="0" xfId="0"/>
    <xf numFmtId="0" fontId="5" fillId="0" borderId="0" pivotButton="0" quotePrefix="0" xfId="0"/>
    <xf numFmtId="1" fontId="7" fillId="3" borderId="0" applyAlignment="1" pivotButton="0" quotePrefix="0" xfId="0">
      <alignment horizontal="center"/>
    </xf>
    <xf numFmtId="173" fontId="16" fillId="0" borderId="0" applyAlignment="1" pivotButton="0" quotePrefix="0" xfId="0">
      <alignment horizontal="left"/>
    </xf>
    <xf numFmtId="0" fontId="15" fillId="0" borderId="0" pivotButton="0" quotePrefix="0" xfId="0"/>
    <xf numFmtId="166" fontId="17" fillId="0" borderId="0" applyAlignment="1" pivotButton="0" quotePrefix="0" xfId="0">
      <alignment horizontal="left"/>
    </xf>
    <xf numFmtId="172" fontId="17" fillId="0" borderId="0" applyAlignment="1" pivotButton="0" quotePrefix="0" xfId="0">
      <alignment horizontal="left"/>
    </xf>
    <xf numFmtId="0" fontId="18" fillId="0" borderId="0" pivotButton="0" quotePrefix="0" xfId="0"/>
    <xf numFmtId="0" fontId="11" fillId="0" borderId="1" pivotButton="0" quotePrefix="0" xfId="0"/>
    <xf numFmtId="0" fontId="0" fillId="0" borderId="1" pivotButton="0" quotePrefix="0" xfId="0"/>
    <xf numFmtId="0" fontId="5" fillId="0" borderId="1" applyAlignment="1" pivotButton="0" quotePrefix="0" xfId="0">
      <alignment horizontal="left" wrapText="1"/>
    </xf>
    <xf numFmtId="0" fontId="5" fillId="0" borderId="1" applyAlignment="1" pivotButton="0" quotePrefix="0" xfId="0">
      <alignment horizontal="center" wrapText="1"/>
    </xf>
    <xf numFmtId="0" fontId="5" fillId="0" borderId="1" pivotButton="0" quotePrefix="0" xfId="0"/>
    <xf numFmtId="169" fontId="5" fillId="0" borderId="1" applyAlignment="1" pivotButton="0" quotePrefix="0" xfId="0">
      <alignment horizontal="right" vertical="center"/>
    </xf>
    <xf numFmtId="169" fontId="6" fillId="0" borderId="1" applyAlignment="1" pivotButton="0" quotePrefix="0" xfId="0">
      <alignment horizontal="right" vertical="center"/>
    </xf>
    <xf numFmtId="0" fontId="11" fillId="0" borderId="1" applyAlignment="1" pivotButton="0" quotePrefix="0" xfId="0">
      <alignment horizontal="center" vertical="center"/>
    </xf>
    <xf numFmtId="0" fontId="5" fillId="0" borderId="1" applyAlignment="1" pivotButton="0" quotePrefix="0" xfId="0">
      <alignment horizontal="center" vertical="center"/>
    </xf>
    <xf numFmtId="174" fontId="6" fillId="0" borderId="1" applyAlignment="1" pivotButton="0" quotePrefix="0" xfId="0">
      <alignment horizontal="right" vertical="center"/>
    </xf>
    <xf numFmtId="0" fontId="6" fillId="0" borderId="1" applyAlignment="1" pivotButton="0" quotePrefix="0" xfId="0">
      <alignment horizontal="center" vertical="center"/>
    </xf>
    <xf numFmtId="0" fontId="11" fillId="0" borderId="1" applyAlignment="1" pivotButton="0" quotePrefix="0" xfId="0">
      <alignment vertical="center" wrapText="1"/>
    </xf>
    <xf numFmtId="170" fontId="5" fillId="0" borderId="1" applyAlignment="1" pivotButton="0" quotePrefix="0" xfId="0">
      <alignment horizontal="right" vertical="center"/>
    </xf>
    <xf numFmtId="170" fontId="6" fillId="0" borderId="1" applyAlignment="1" pivotButton="0" quotePrefix="0" xfId="0">
      <alignment horizontal="right" vertical="center"/>
    </xf>
    <xf numFmtId="175" fontId="6" fillId="0" borderId="1" applyAlignment="1" pivotButton="0" quotePrefix="0" xfId="0">
      <alignment horizontal="right" vertical="center"/>
    </xf>
    <xf numFmtId="171" fontId="5" fillId="0" borderId="1" applyAlignment="1" pivotButton="0" quotePrefix="0" xfId="0">
      <alignment horizontal="right" vertical="center"/>
    </xf>
    <xf numFmtId="171" fontId="6" fillId="0" borderId="1" applyAlignment="1" pivotButton="0" quotePrefix="0" xfId="0">
      <alignment horizontal="right" vertical="center"/>
    </xf>
    <xf numFmtId="176" fontId="6" fillId="0" borderId="1" applyAlignment="1" pivotButton="0" quotePrefix="0" xfId="0">
      <alignment horizontal="right" vertical="center"/>
    </xf>
    <xf numFmtId="166" fontId="5" fillId="0" borderId="1" applyAlignment="1" pivotButton="0" quotePrefix="0" xfId="0">
      <alignment horizontal="right" vertical="center"/>
    </xf>
    <xf numFmtId="166" fontId="6" fillId="0" borderId="1" applyAlignment="1" pivotButton="0" quotePrefix="0" xfId="0">
      <alignment horizontal="right" vertical="center"/>
    </xf>
    <xf numFmtId="177" fontId="6" fillId="0" borderId="1" applyAlignment="1" pivotButton="0" quotePrefix="0" xfId="0">
      <alignment horizontal="right" vertical="center"/>
    </xf>
    <xf numFmtId="172" fontId="5" fillId="0" borderId="1" applyAlignment="1" pivotButton="0" quotePrefix="0" xfId="0">
      <alignment horizontal="right" vertical="center"/>
    </xf>
    <xf numFmtId="168" fontId="6" fillId="0" borderId="1" applyAlignment="1" pivotButton="0" quotePrefix="0" xfId="0">
      <alignment horizontal="right" vertical="center"/>
    </xf>
    <xf numFmtId="172" fontId="6" fillId="0" borderId="1" applyAlignment="1" pivotButton="0" quotePrefix="0" xfId="0">
      <alignment horizontal="right" vertical="center"/>
    </xf>
    <xf numFmtId="178" fontId="6" fillId="0" borderId="1" applyAlignment="1" pivotButton="0" quotePrefix="0" xfId="0">
      <alignment horizontal="right" vertical="center"/>
    </xf>
    <xf numFmtId="0" fontId="4" fillId="2" borderId="0" applyAlignment="1" pivotButton="0" quotePrefix="0" xfId="0">
      <alignment horizontal="left" vertical="center"/>
    </xf>
    <xf numFmtId="0" fontId="4" fillId="2" borderId="0" applyAlignment="1" pivotButton="0" quotePrefix="0" xfId="0">
      <alignment horizontal="center" vertical="center" wrapText="1"/>
    </xf>
    <xf numFmtId="167" fontId="4" fillId="2" borderId="0" applyAlignment="1" pivotButton="0" quotePrefix="0" xfId="0">
      <alignment horizontal="center" vertical="center" wrapText="1"/>
    </xf>
    <xf numFmtId="0" fontId="11" fillId="0" borderId="0" applyAlignment="1" pivotButton="0" quotePrefix="0" xfId="0">
      <alignment horizontal="center"/>
    </xf>
    <xf numFmtId="0" fontId="7" fillId="3" borderId="1" pivotButton="0" quotePrefix="0" xfId="0"/>
    <xf numFmtId="169" fontId="7" fillId="3" borderId="1" pivotButton="0" quotePrefix="0" xfId="0"/>
    <xf numFmtId="9" fontId="7" fillId="3" borderId="1" pivotButton="0" quotePrefix="0" xfId="0"/>
    <xf numFmtId="169" fontId="6" fillId="0" borderId="1" applyAlignment="1" pivotButton="0" quotePrefix="0" xfId="0">
      <alignment horizontal="right"/>
    </xf>
    <xf numFmtId="169" fontId="5" fillId="0" borderId="1" applyAlignment="1" pivotButton="0" quotePrefix="0" xfId="0">
      <alignment horizontal="right"/>
    </xf>
    <xf numFmtId="170" fontId="7" fillId="3" borderId="1" pivotButton="0" quotePrefix="0" xfId="0"/>
    <xf numFmtId="170" fontId="6" fillId="0" borderId="1" applyAlignment="1" pivotButton="0" quotePrefix="0" xfId="0">
      <alignment horizontal="right"/>
    </xf>
    <xf numFmtId="170" fontId="5" fillId="0" borderId="1" applyAlignment="1" pivotButton="0" quotePrefix="0" xfId="0">
      <alignment horizontal="right"/>
    </xf>
    <xf numFmtId="171" fontId="7" fillId="3" borderId="1" pivotButton="0" quotePrefix="0" xfId="0"/>
    <xf numFmtId="171" fontId="6" fillId="0" borderId="1" applyAlignment="1" pivotButton="0" quotePrefix="0" xfId="0">
      <alignment horizontal="right"/>
    </xf>
    <xf numFmtId="171" fontId="5" fillId="0" borderId="1" applyAlignment="1" pivotButton="0" quotePrefix="0" xfId="0">
      <alignment horizontal="right"/>
    </xf>
    <xf numFmtId="166" fontId="7" fillId="3" borderId="1" pivotButton="0" quotePrefix="0" xfId="0"/>
    <xf numFmtId="166" fontId="6" fillId="0" borderId="1" applyAlignment="1" pivotButton="0" quotePrefix="0" xfId="0">
      <alignment horizontal="right"/>
    </xf>
    <xf numFmtId="166" fontId="5" fillId="0" borderId="1" applyAlignment="1" pivotButton="0" quotePrefix="0" xfId="0">
      <alignment horizontal="right"/>
    </xf>
    <xf numFmtId="168" fontId="7" fillId="3" borderId="1" pivotButton="0" quotePrefix="0" xfId="0"/>
    <xf numFmtId="172" fontId="6" fillId="0" borderId="1" applyAlignment="1" pivotButton="0" quotePrefix="0" xfId="0">
      <alignment horizontal="right"/>
    </xf>
    <xf numFmtId="0" fontId="11" fillId="0" borderId="1" applyAlignment="1" pivotButton="0" quotePrefix="0" xfId="0">
      <alignment horizontal="right"/>
    </xf>
    <xf numFmtId="167" fontId="5" fillId="0" borderId="1" applyAlignment="1" pivotButton="0" quotePrefix="0" xfId="0">
      <alignment horizontal="center"/>
    </xf>
    <xf numFmtId="0" fontId="5" fillId="0" borderId="1" applyAlignment="1" pivotButton="0" quotePrefix="0" xfId="0">
      <alignment horizontal="center"/>
    </xf>
    <xf numFmtId="0" fontId="6" fillId="0" borderId="1" pivotButton="0" quotePrefix="0" xfId="0"/>
    <xf numFmtId="0" fontId="11" fillId="0" borderId="1" applyAlignment="1" pivotButton="0" quotePrefix="0" xfId="0">
      <alignment horizontal="center"/>
    </xf>
    <xf numFmtId="0" fontId="5" fillId="7" borderId="0" pivotButton="0" quotePrefix="0" xfId="0"/>
    <xf numFmtId="0" fontId="0" fillId="7" borderId="0" pivotButton="0" quotePrefix="0" xfId="0"/>
    <xf numFmtId="1" fontId="5" fillId="7" borderId="0" applyAlignment="1" pivotButton="0" quotePrefix="0" xfId="0">
      <alignment horizontal="center"/>
    </xf>
    <xf numFmtId="0" fontId="5" fillId="7" borderId="2" pivotButton="0" quotePrefix="0" xfId="0"/>
    <xf numFmtId="166" fontId="5" fillId="7" borderId="2" pivotButton="0" quotePrefix="0" xfId="0"/>
    <xf numFmtId="1" fontId="11" fillId="0" borderId="1" pivotButton="0" quotePrefix="0" xfId="0"/>
    <xf numFmtId="166" fontId="11" fillId="0" borderId="1" pivotButton="0" quotePrefix="0" xfId="0"/>
    <xf numFmtId="0" fontId="5" fillId="0" borderId="1" applyAlignment="1" pivotButton="0" quotePrefix="0" xfId="0">
      <alignment vertical="top" wrapText="1"/>
    </xf>
    <xf numFmtId="0" fontId="6" fillId="0" borderId="1" applyAlignment="1" pivotButton="0" quotePrefix="0" xfId="0">
      <alignment vertical="top" wrapText="1"/>
    </xf>
  </cellXfs>
  <cellStyles count="1">
    <cellStyle name="Normal" xfId="0" builtinId="0" hidden="0"/>
  </cellStyles>
  <dxfs count="8">
    <dxf>
      <font>
        <name val="Arial"/>
        <b val="1"/>
        <color rgb="00006100"/>
      </font>
      <fill>
        <patternFill patternType="solid">
          <fgColor rgb="00C6EFCE"/>
        </patternFill>
      </fill>
    </dxf>
    <dxf>
      <font>
        <name val="Arial"/>
        <b val="1"/>
        <color rgb="009C5700"/>
      </font>
      <fill>
        <patternFill patternType="solid">
          <fgColor rgb="00FFEB9C"/>
        </patternFill>
      </fill>
    </dxf>
    <dxf>
      <font>
        <name val="Arial"/>
        <b val="1"/>
        <color rgb="009C0006"/>
      </font>
      <fill>
        <patternFill patternType="solid">
          <fgColor rgb="00FFC7CE"/>
        </patternFill>
      </fill>
    </dxf>
    <dxf>
      <font>
        <name val="Arial"/>
        <b val="1"/>
        <color rgb="00CC1923"/>
      </font>
    </dxf>
    <dxf>
      <font>
        <name val="Arial"/>
        <b val="1"/>
        <color rgb="001E7B34"/>
      </font>
    </dxf>
    <dxf>
      <font>
        <name val="Arial"/>
        <color rgb="00006100"/>
      </font>
      <fill>
        <patternFill patternType="solid">
          <fgColor rgb="00C6EFCE"/>
        </patternFill>
      </fill>
    </dxf>
    <dxf>
      <font>
        <name val="Arial"/>
        <color rgb="009C5700"/>
      </font>
      <fill>
        <patternFill patternType="solid">
          <fgColor rgb="00FFEB9C"/>
        </patternFill>
      </fill>
    </dxf>
    <dxf>
      <font>
        <name val="Arial"/>
        <color rgb="009C0006"/>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0</row>
      <rowOff>0</rowOff>
    </from>
    <ext cx="95250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1:D34"/>
  <sheetViews>
    <sheetView showGridLines="0" workbookViewId="0">
      <selection activeCell="A1" sqref="A1"/>
    </sheetView>
  </sheetViews>
  <sheetFormatPr baseColWidth="8" defaultRowHeight="15"/>
  <cols>
    <col width="2" customWidth="1" min="1" max="1"/>
    <col width="34" customWidth="1" min="2" max="2"/>
    <col width="22" customWidth="1" min="3" max="3"/>
    <col width="62" customWidth="1" min="4" max="4"/>
    <col width="2" customWidth="1" min="5" max="5"/>
  </cols>
  <sheetData>
    <row r="1" ht="28" customHeight="1">
      <c r="B1" s="1" t="inlineStr">
        <is>
          <t>Monthly KPI Scorecard</t>
        </is>
      </c>
    </row>
    <row r="2">
      <c r="B2" s="2" t="inlineStr">
        <is>
          <t>Axcell Financial Consulting</t>
        </is>
      </c>
    </row>
    <row r="3">
      <c r="B3" s="3" t="inlineStr">
        <is>
          <t>11 core finance KPIs, 12 months, targets and Red / Amber / Green status</t>
        </is>
      </c>
    </row>
    <row r="5">
      <c r="B5" s="4" t="inlineStr">
        <is>
          <t>How to use it (about 10 minutes)</t>
        </is>
      </c>
      <c r="C5" s="5" t="n"/>
      <c r="D5" s="5" t="n"/>
    </row>
    <row r="6" ht="30" customHeight="1">
      <c r="B6" s="6" t="inlineStr">
        <is>
          <t>Step 1</t>
        </is>
      </c>
      <c r="C6" s="7" t="inlineStr">
        <is>
          <t>Fill the yellow cells under 'Your settings' below: company name, currency label, first month of your financial year and the cash balance at the start of month 1.</t>
        </is>
      </c>
    </row>
    <row r="7" ht="30" customHeight="1">
      <c r="B7" s="6" t="inlineStr">
        <is>
          <t>Step 2</t>
        </is>
      </c>
      <c r="C7" s="7" t="inlineStr">
        <is>
          <t>On 'Monthly inputs', enter each month's figures from your management accounts: P&amp;L for the month, balance sheet at month end, and headcount. Fill months in order.</t>
        </is>
      </c>
    </row>
    <row r="8" ht="30" customHeight="1">
      <c r="B8" s="6" t="inlineStr">
        <is>
          <t>Step 3</t>
        </is>
      </c>
      <c r="C8" s="7" t="inlineStr">
        <is>
          <t>On 'KPI scorecard', set your own target and direction (higher or lower is better) for each KPI. The example targets are illustrations, not benchmarks.</t>
        </is>
      </c>
    </row>
    <row r="9" ht="30" customHeight="1">
      <c r="B9" s="6" t="inlineStr">
        <is>
          <t>Step 4</t>
        </is>
      </c>
      <c r="C9" s="7" t="inlineStr">
        <is>
          <t>Open 'Summary', choose the month to review and read the status column: Green = on target, Amber = close, Red = off target.</t>
        </is>
      </c>
    </row>
    <row r="10" ht="30" customHeight="1">
      <c r="B10" s="6" t="inlineStr">
        <is>
          <t>Step 5</t>
        </is>
      </c>
      <c r="C10" s="7" t="inlineStr">
        <is>
          <t>For every Red KPI, use the 'If it is off target, look at' column, agree one action and an owner, and check again next month.</t>
        </is>
      </c>
    </row>
    <row r="12">
      <c r="B12" s="4" t="inlineStr">
        <is>
          <t>Colour legend</t>
        </is>
      </c>
      <c r="C12" s="5" t="n"/>
      <c r="D12" s="5" t="n"/>
    </row>
    <row r="13">
      <c r="B13" s="8" t="inlineStr">
        <is>
          <t>1,250</t>
        </is>
      </c>
      <c r="C13" s="9" t="inlineStr">
        <is>
          <t>Input: blue text on light-yellow. Type your own numbers here.</t>
        </is>
      </c>
    </row>
    <row r="14">
      <c r="B14" s="10" t="inlineStr">
        <is>
          <t>1,250</t>
        </is>
      </c>
      <c r="C14" s="9" t="inlineStr">
        <is>
          <t>Formula: black text. Calculated for you, do not overwrite.</t>
        </is>
      </c>
    </row>
    <row r="15">
      <c r="B15" s="10" t="inlineStr">
        <is>
          <t>(1,250)</t>
        </is>
      </c>
      <c r="C15" s="9" t="inlineStr">
        <is>
          <t>Brackets mean a negative number (a loss, an outflow or a shortfall).</t>
        </is>
      </c>
    </row>
    <row r="16">
      <c r="B16" s="11" t="inlineStr">
        <is>
          <t>Green</t>
        </is>
      </c>
      <c r="C16" s="7" t="inlineStr">
        <is>
          <t>On target or better.</t>
        </is>
      </c>
    </row>
    <row r="17">
      <c r="B17" s="12" t="inlineStr">
        <is>
          <t>Amber</t>
        </is>
      </c>
      <c r="C17" s="7" t="inlineStr">
        <is>
          <t>Close: misses the target, but within the amber band you set (e.g. 10%).</t>
        </is>
      </c>
    </row>
    <row r="18">
      <c r="B18" s="13" t="inlineStr">
        <is>
          <t>Red</t>
        </is>
      </c>
      <c r="C18" s="7" t="inlineStr">
        <is>
          <t>Off target by more than the amber band. Needs action.</t>
        </is>
      </c>
    </row>
    <row r="20">
      <c r="B20" s="4" t="inlineStr">
        <is>
          <t>Your settings</t>
        </is>
      </c>
      <c r="C20" s="5" t="n"/>
      <c r="D20" s="5" t="n"/>
    </row>
    <row r="21">
      <c r="B21" s="14" t="inlineStr">
        <is>
          <t>Company name</t>
        </is>
      </c>
      <c r="C21" s="15" t="inlineStr">
        <is>
          <t>Example Trading Co.</t>
        </is>
      </c>
      <c r="D21" s="16" t="inlineStr">
        <is>
          <t>Shown on the Summary sheet.</t>
        </is>
      </c>
    </row>
    <row r="22" ht="26" customHeight="1">
      <c r="B22" s="14" t="inlineStr">
        <is>
          <t>Currency</t>
        </is>
      </c>
      <c r="C22" s="15" t="inlineStr">
        <is>
          <t>Your currency</t>
        </is>
      </c>
      <c r="D22" s="16" t="inlineStr">
        <is>
          <t>Type your currency code, e.g. SAR, AED, EGP, USD. Labels only; no conversion.</t>
        </is>
      </c>
    </row>
    <row r="23" ht="26" customHeight="1">
      <c r="B23" s="14" t="inlineStr">
        <is>
          <t>First month of financial year</t>
        </is>
      </c>
      <c r="C23" s="17" t="n">
        <v>46023</v>
      </c>
      <c r="D23" s="16" t="inlineStr">
        <is>
          <t>Enter the 1st day of month 1, e.g. 01 Jan 2026. Month headings update automatically.</t>
        </is>
      </c>
    </row>
    <row r="24" ht="26" customHeight="1">
      <c r="B24" s="14" t="inlineStr">
        <is>
          <t>Cash at the start of month 1</t>
        </is>
      </c>
      <c r="C24" s="18" t="n">
        <v>640000</v>
      </c>
      <c r="D24" s="16" t="inlineStr">
        <is>
          <t>Closing cash of the month before month 1. Used to measure cash burn and runway for month 1.</t>
        </is>
      </c>
    </row>
    <row r="26">
      <c r="B26" s="4" t="inlineStr">
        <is>
          <t>Good to know</t>
        </is>
      </c>
      <c r="C26" s="5" t="n"/>
      <c r="D26" s="5" t="n"/>
    </row>
    <row r="27" ht="30" customHeight="1">
      <c r="B27" s="7" t="inlineStr">
        <is>
          <t>• Enter costs as positive numbers. Balance sheet items are month-end balances. The sheets do the subtraction and the ratios for you.</t>
        </is>
      </c>
    </row>
    <row r="28" ht="30" customHeight="1">
      <c r="B28" s="7" t="inlineStr">
        <is>
          <t>• Days measures (DSO, DPO, DIO) use the month's own figures and the number of days in that month. A single month can be noisy, so look at the trend over 3 months.</t>
        </is>
      </c>
    </row>
    <row r="29" ht="30" customHeight="1">
      <c r="B29" s="7" t="inlineStr">
        <is>
          <t>• Cash runway = cash at month end ÷ average monthly cash decrease over the last 3 months. If cash is not falling, it shows 'No burn' (counted as on target).</t>
        </is>
      </c>
    </row>
    <row r="30" ht="30" customHeight="1">
      <c r="B30" s="7" t="inlineStr">
        <is>
          <t>• A KPI shows no status when its target is blank or when it cannot be calculated (e.g. no revenue entered or equity is zero or negative).</t>
        </is>
      </c>
    </row>
    <row r="31" ht="30" customHeight="1">
      <c r="B31" s="7" t="inlineStr">
        <is>
          <t>• Use this monthly tracker together with Axcell's one-off Finance Health Diagnostic: the diagnostic finds the gaps, this scorecard tracks whether they close.</t>
        </is>
      </c>
    </row>
    <row r="33">
      <c r="B33" s="19" t="inlineStr">
        <is>
          <t>Illustrative tool for decision support, not financial, tax or legal advice. The example figures are made up for illustration.</t>
        </is>
      </c>
    </row>
    <row r="34">
      <c r="B34" s="20" t="inlineStr">
        <is>
          <t>axcellservice.com · Free template · Book a free 30-minute consultation: axcellservice.com/contact</t>
        </is>
      </c>
    </row>
  </sheetData>
  <mergeCells count="17">
    <mergeCell ref="B33:D33"/>
    <mergeCell ref="B28:D28"/>
    <mergeCell ref="C6:D6"/>
    <mergeCell ref="C10:D10"/>
    <mergeCell ref="C7:D7"/>
    <mergeCell ref="C16:D16"/>
    <mergeCell ref="C15:D15"/>
    <mergeCell ref="B31:D31"/>
    <mergeCell ref="B27:D27"/>
    <mergeCell ref="C14:D14"/>
    <mergeCell ref="C13:D13"/>
    <mergeCell ref="B30:D30"/>
    <mergeCell ref="C9:D9"/>
    <mergeCell ref="B29:D29"/>
    <mergeCell ref="C17:D17"/>
    <mergeCell ref="C18:D18"/>
    <mergeCell ref="C8:D8"/>
  </mergeCells>
  <dataValidations count="2">
    <dataValidation sqref="C23" showDropDown="0" showInputMessage="0" showErrorMessage="1" allowBlank="0" errorTitle="Date needed" error="Enter the first day of your financial year as a date, e.g. 01/01/2026." type="date" operator="greaterThan">
      <formula1>36526</formula1>
    </dataValidation>
    <dataValidation sqref="C24" showDropDown="0" showInputMessage="0" showErrorMessage="1" allowBlank="0" error="Enter a positive amount." type="decimal" operator="greaterThanOrEqual">
      <formula1>0</formula1>
    </dataValidation>
  </dataValidation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1:J29"/>
  <sheetViews>
    <sheetView showGridLines="0" workbookViewId="0">
      <pane ySplit="5" topLeftCell="A6" activePane="bottomLeft" state="frozen"/>
      <selection pane="bottomLeft" activeCell="A1" sqref="A1"/>
    </sheetView>
  </sheetViews>
  <sheetFormatPr baseColWidth="8" defaultRowHeight="15"/>
  <cols>
    <col width="2" customWidth="1" min="1" max="1"/>
    <col width="32" customWidth="1" min="2" max="2"/>
    <col width="13" customWidth="1" min="3" max="3"/>
    <col width="12" customWidth="1" min="4" max="4"/>
    <col width="15" customWidth="1" min="5" max="5"/>
    <col width="10" customWidth="1" min="6" max="6"/>
    <col width="13" customWidth="1" min="7" max="7"/>
    <col width="13" customWidth="1" min="8" max="8"/>
    <col width="15" customWidth="1" min="9" max="9"/>
    <col width="52" customWidth="1" min="10" max="10"/>
  </cols>
  <sheetData>
    <row r="1" ht="26" customHeight="1">
      <c r="B1" s="21" t="inlineStr">
        <is>
          <t>KPI summary for the selected month</t>
        </is>
      </c>
    </row>
    <row r="2">
      <c r="B2" s="22" t="inlineStr">
        <is>
          <t>Axcell Financial Consulting · Monthly KPI Scorecard</t>
        </is>
      </c>
    </row>
    <row r="3">
      <c r="B3" s="19" t="str">
        <f>IF('Start here'!$C$21="","",'Start here'!$C$21&amp;" · ")&amp;"Amounts in "&amp;'Start here'!$C$22</f>
        <v>Example Trading Co. · Amounts in Your currency</v>
      </c>
    </row>
    <row r="5" ht="20" customHeight="1">
      <c r="B5" s="23" t="inlineStr">
        <is>
          <t>Month to review (1–12)</t>
        </is>
      </c>
      <c r="C5" s="24" t="n">
        <v>10</v>
      </c>
      <c r="D5" s="25">
        <f>INDEX('Monthly inputs'!$C$5:$N$5,$C$5)</f>
        <v>46296.0</v>
      </c>
      <c r="G5" s="26">
        <f>IF(INDEX('Monthly inputs'!$C$28:$N$28,$C$5)=0,"No data entered for this month yet: enter it on Monthly inputs or pick an earlier month.","")</f>
        <v/>
      </c>
    </row>
    <row r="7">
      <c r="B7" s="4" t="inlineStr">
        <is>
          <t>THE MONTH AT A GLANCE</t>
        </is>
      </c>
      <c r="C7" s="5" t="n"/>
      <c r="D7" s="5" t="n"/>
      <c r="E7" s="5" t="n"/>
      <c r="F7" s="5" t="n"/>
      <c r="G7" s="5" t="n"/>
      <c r="H7" s="5" t="n"/>
      <c r="I7" s="5" t="n"/>
      <c r="J7" s="5" t="n"/>
    </row>
    <row r="8">
      <c r="B8" s="22" t="inlineStr">
        <is>
          <t>Revenue</t>
        </is>
      </c>
      <c r="D8" s="22" t="inlineStr">
        <is>
          <t>Net profit</t>
        </is>
      </c>
      <c r="G8" s="22" t="inlineStr">
        <is>
          <t>Cash at month end</t>
        </is>
      </c>
      <c r="I8" s="22" t="inlineStr">
        <is>
          <t>Runway (months)</t>
        </is>
      </c>
      <c r="J8" s="22" t="inlineStr">
        <is>
          <t>KPI status this month</t>
        </is>
      </c>
    </row>
    <row r="9">
      <c r="B9" s="27">
        <f>IF(INDEX('Monthly inputs'!$C$28:$N$28,$C$5)=0,"",INDEX('Monthly inputs'!$C$8:$N$8,$C$5))</f>
        <v>990000</v>
      </c>
      <c r="D9" s="27">
        <f>IF(INDEX('Monthly inputs'!$C$28:$N$28,$C$5)=0,"",INDEX('Monthly inputs'!$C$12:$N$12,$C$5))</f>
        <v>82300</v>
      </c>
      <c r="G9" s="27">
        <f>IF(INDEX('Monthly inputs'!$C$28:$N$28,$C$5)=0,"",INDEX('Monthly inputs'!$C$14:$N$14,$C$5))</f>
        <v>410000</v>
      </c>
      <c r="I9" s="28">
        <f>INDEX('KPI scorecard'!$F$17:$Q$17,$C$5)</f>
        <v>20.5</v>
      </c>
      <c r="J9" s="29" t="str">
        <f>COUNTIF(F14:F24,"Green")&amp;" Green  ·  "&amp;COUNTIF(F14:F24,"Amber")&amp;" Amber  ·  "&amp;COUNTIF(F14:F24,"Red")&amp;" Red"</f>
        <v>6 Green  ·  2 Amber  ·  3 Red</v>
      </c>
    </row>
    <row r="10">
      <c r="B10" s="30" t="str">
        <f>IF(OR(INDEX('Monthly inputs'!$C$28:$N$28,$C$5)=0,$C$5=1),"",IF(N(INDEX('Monthly inputs'!$C$8:$N$8,$C$5-1))=0,"","vs last month: "&amp;TEXT((INDEX('Monthly inputs'!$C$8:$N$8,$C$5)-INDEX('Monthly inputs'!$C$8:$N$8,$C$5-1))/ABS(INDEX('Monthly inputs'!$C$8:$N$8,$C$5-1)),"+0.0%;-0.0%")))</f>
        <v>vs last month: +4.2%</v>
      </c>
      <c r="C10" s="31" t="n"/>
      <c r="D10" s="30" t="str">
        <f>IF(OR(INDEX('Monthly inputs'!$C$28:$N$28,$C$5)=0,$C$5=1),"",IF(N(INDEX('Monthly inputs'!$C$12:$N$12,$C$5-1))=0,"","vs last month: "&amp;TEXT((INDEX('Monthly inputs'!$C$12:$N$12,$C$5)-INDEX('Monthly inputs'!$C$12:$N$12,$C$5-1))/ABS(INDEX('Monthly inputs'!$C$12:$N$12,$C$5-1)),"+0.0%;-0.0%")))</f>
        <v>vs last month: +3.5%</v>
      </c>
      <c r="E10" s="31" t="n"/>
      <c r="F10" s="31" t="n"/>
      <c r="G10" s="30" t="str">
        <f>IF(OR(INDEX('Monthly inputs'!$C$28:$N$28,$C$5)=0,$C$5=1),"",IF(N(INDEX('Monthly inputs'!$C$14:$N$14,$C$5-1))=0,"","vs last month: "&amp;TEXT((INDEX('Monthly inputs'!$C$14:$N$14,$C$5)-INDEX('Monthly inputs'!$C$14:$N$14,$C$5-1))/ABS(INDEX('Monthly inputs'!$C$14:$N$14,$C$5-1)),"+0.0%;-0.0%")))</f>
        <v>vs last month: -4.7%</v>
      </c>
      <c r="H10" s="31" t="n"/>
      <c r="I10" s="31" t="n"/>
      <c r="J10" s="31" t="n"/>
    </row>
    <row r="12">
      <c r="B12" s="4" t="inlineStr">
        <is>
          <t>KPIS FOR THE SELECTED MONTH</t>
        </is>
      </c>
      <c r="C12" s="5" t="n"/>
      <c r="D12" s="5" t="n"/>
      <c r="E12" s="5" t="n"/>
      <c r="F12" s="5" t="n"/>
      <c r="G12" s="5" t="n"/>
      <c r="H12" s="5" t="n"/>
      <c r="I12" s="5" t="n"/>
      <c r="J12" s="5" t="n"/>
    </row>
    <row r="13">
      <c r="B13" s="32" t="inlineStr">
        <is>
          <t>KPI</t>
        </is>
      </c>
      <c r="C13" s="33" t="inlineStr">
        <is>
          <t>This month</t>
        </is>
      </c>
      <c r="D13" s="33" t="inlineStr">
        <is>
          <t>Target</t>
        </is>
      </c>
      <c r="E13" s="33" t="inlineStr">
        <is>
          <t>Direction</t>
        </is>
      </c>
      <c r="F13" s="33" t="inlineStr">
        <is>
          <t>Status</t>
        </is>
      </c>
      <c r="G13" s="33" t="inlineStr">
        <is>
          <t>Last month</t>
        </is>
      </c>
      <c r="H13" s="33" t="inlineStr">
        <is>
          <t>Change</t>
        </is>
      </c>
      <c r="I13" s="33" t="inlineStr">
        <is>
          <t>Trend</t>
        </is>
      </c>
      <c r="J13" s="33" t="inlineStr">
        <is>
          <t>If it is off target, look at</t>
        </is>
      </c>
    </row>
    <row r="14" ht="24" customHeight="1">
      <c r="B14" s="34" t="str">
        <f>'KPI scorecard'!B7</f>
        <v>Gross margin %</v>
      </c>
      <c r="C14" s="35">
        <f>INDEX('KPI scorecard'!$F$7:$Q$7,$C$5)</f>
        <v>0.37</v>
      </c>
      <c r="D14" s="36">
        <f>'KPI scorecard'!D7</f>
        <v>0.4</v>
      </c>
      <c r="E14" s="37" t="str">
        <f>IF('KPI scorecard'!C7="Higher is better","Higher better","Lower better")</f>
        <v>Higher better</v>
      </c>
      <c r="F14" s="38" t="str">
        <f>INDEX('KPI scorecard'!$F$21:$Q$21,$C$5)</f>
        <v>Amber</v>
      </c>
      <c r="G14" s="36">
        <f>IF($C$5=1,"",INDEX('KPI scorecard'!$F$7:$Q$7,$C$5-1))</f>
        <v>0.38</v>
      </c>
      <c r="H14" s="39">
        <f>IF(OR(C14="",G14=""),"",C14-G14)</f>
        <v>-0.01</v>
      </c>
      <c r="I14" s="40" t="str">
        <f>IF(OR(C14="",G14=""),"",IF(C14=G14,"No change",IF((C14&gt;G14)=('KPI scorecard'!C7="Higher is better"),"Improving","Worsening")))</f>
        <v>Worsening</v>
      </c>
      <c r="J14" s="41" t="inlineStr">
        <is>
          <t>Prices, discounts, purchase costs, product/customer mix</t>
        </is>
      </c>
    </row>
    <row r="15" ht="24" customHeight="1">
      <c r="B15" s="34" t="str">
        <f>'KPI scorecard'!B8</f>
        <v>Net margin %</v>
      </c>
      <c r="C15" s="35">
        <f>INDEX('KPI scorecard'!$F$8:$Q$8,$C$5)</f>
        <v>0.0831313131313131</v>
      </c>
      <c r="D15" s="36">
        <f>'KPI scorecard'!D8</f>
        <v>0.08</v>
      </c>
      <c r="E15" s="37" t="str">
        <f>IF('KPI scorecard'!C8="Higher is better","Higher better","Lower better")</f>
        <v>Higher better</v>
      </c>
      <c r="F15" s="38" t="str">
        <f>INDEX('KPI scorecard'!$F$22:$Q$22,$C$5)</f>
        <v>Green</v>
      </c>
      <c r="G15" s="36">
        <f>IF($C$5=1,"",INDEX('KPI scorecard'!$F$8:$Q$8,$C$5-1))</f>
        <v>0.0836842105263158</v>
      </c>
      <c r="H15" s="39">
        <f>IF(OR(C15="",G15=""),"",C15-G15)</f>
        <v>-0.000552897395002666</v>
      </c>
      <c r="I15" s="40" t="str">
        <f>IF(OR(C15="",G15=""),"",IF(C15=G15,"No change",IF((C15&gt;G15)=('KPI scorecard'!C8="Higher is better"),"Improving","Worsening")))</f>
        <v>Worsening</v>
      </c>
      <c r="J15" s="41" t="inlineStr">
        <is>
          <t>Gross margin first, then the biggest operating expenses</t>
        </is>
      </c>
    </row>
    <row r="16" ht="24" customHeight="1">
      <c r="B16" s="34" t="str">
        <f>'KPI scorecard'!B9</f>
        <v>Current ratio (x)</v>
      </c>
      <c r="C16" s="42">
        <f>INDEX('KPI scorecard'!$F$9:$Q$9,$C$5)</f>
        <v>1.7390249485008</v>
      </c>
      <c r="D16" s="43">
        <f>'KPI scorecard'!D9</f>
        <v>1.5</v>
      </c>
      <c r="E16" s="37" t="str">
        <f>IF('KPI scorecard'!C9="Higher is better","Higher better","Lower better")</f>
        <v>Higher better</v>
      </c>
      <c r="F16" s="38" t="str">
        <f>INDEX('KPI scorecard'!$F$23:$Q$23,$C$5)</f>
        <v>Green</v>
      </c>
      <c r="G16" s="43">
        <f>IF($C$5=1,"",INDEX('KPI scorecard'!$F$9:$Q$9,$C$5-1))</f>
        <v>1.69152258004381</v>
      </c>
      <c r="H16" s="44">
        <f>IF(OR(C16="",G16=""),"",C16-G16)</f>
        <v>0.0475023684569926</v>
      </c>
      <c r="I16" s="40" t="str">
        <f>IF(OR(C16="",G16=""),"",IF(C16=G16,"No change",IF((C16&gt;G16)=('KPI scorecard'!C9="Higher is better"),"Improving","Worsening")))</f>
        <v>Improving</v>
      </c>
      <c r="J16" s="41" t="inlineStr">
        <is>
          <t>Short-term loans, overdue payables, cash tied up in stock or receivables</t>
        </is>
      </c>
    </row>
    <row r="17" ht="24" customHeight="1">
      <c r="B17" s="34" t="str">
        <f>'KPI scorecard'!B10</f>
        <v>Quick ratio (x)</v>
      </c>
      <c r="C17" s="42">
        <f>INDEX('KPI scorecard'!$F$10:$Q$10,$C$5)</f>
        <v>1.29695582513161</v>
      </c>
      <c r="D17" s="43">
        <f>'KPI scorecard'!D10</f>
        <v>1</v>
      </c>
      <c r="E17" s="37" t="str">
        <f>IF('KPI scorecard'!C10="Higher is better","Higher better","Lower better")</f>
        <v>Higher better</v>
      </c>
      <c r="F17" s="38" t="str">
        <f>INDEX('KPI scorecard'!$F$24:$Q$24,$C$5)</f>
        <v>Green</v>
      </c>
      <c r="G17" s="43">
        <f>IF($C$5=1,"",INDEX('KPI scorecard'!$F$10:$Q$10,$C$5-1))</f>
        <v>1.26145313883581</v>
      </c>
      <c r="H17" s="44">
        <f>IF(OR(C17="",G17=""),"",C17-G17)</f>
        <v>0.0355026862957979</v>
      </c>
      <c r="I17" s="40" t="str">
        <f>IF(OR(C17="",G17=""),"",IF(C17=G17,"No change",IF((C17&gt;G17)=('KPI scorecard'!C10="Higher is better"),"Improving","Worsening")))</f>
        <v>Improving</v>
      </c>
      <c r="J17" s="41" t="inlineStr">
        <is>
          <t>Same as current ratio, but without counting on selling stock</t>
        </is>
      </c>
    </row>
    <row r="18" ht="24" customHeight="1">
      <c r="B18" s="34" t="str">
        <f>'KPI scorecard'!B11</f>
        <v>Days sales outstanding (DSO)</v>
      </c>
      <c r="C18" s="45">
        <f>INDEX('KPI scorecard'!$F$11:$Q$11,$C$5)</f>
        <v>73.9991919191919</v>
      </c>
      <c r="D18" s="46">
        <f>'KPI scorecard'!D11</f>
        <v>60</v>
      </c>
      <c r="E18" s="37" t="str">
        <f>IF('KPI scorecard'!C11="Higher is better","Higher better","Lower better")</f>
        <v>Lower better</v>
      </c>
      <c r="F18" s="38" t="str">
        <f>INDEX('KPI scorecard'!$F$25:$Q$25,$C$5)</f>
        <v>Red</v>
      </c>
      <c r="G18" s="46">
        <f>IF($C$5=1,"",INDEX('KPI scorecard'!$F$11:$Q$11,$C$5-1))</f>
        <v>70.0010526315789</v>
      </c>
      <c r="H18" s="47">
        <f>IF(OR(C18="",G18=""),"",C18-G18)</f>
        <v>3.99813928761297</v>
      </c>
      <c r="I18" s="40" t="str">
        <f>IF(OR(C18="",G18=""),"",IF(C18=G18,"No change",IF((C18&gt;G18)=('KPI scorecard'!C11="Higher is better"),"Improving","Worsening")))</f>
        <v>Worsening</v>
      </c>
      <c r="J18" s="41" t="inlineStr">
        <is>
          <t>Overdue customers, credit terms, invoicing delays (see AR aging)</t>
        </is>
      </c>
    </row>
    <row r="19" ht="24" customHeight="1">
      <c r="B19" s="34" t="str">
        <f>'KPI scorecard'!B12</f>
        <v>Days payables outstanding (DPO)</v>
      </c>
      <c r="C19" s="45">
        <f>INDEX('KPI scorecard'!$F$12:$Q$12,$C$5)</f>
        <v>37.9982363315697</v>
      </c>
      <c r="D19" s="46">
        <f>'KPI scorecard'!D12</f>
        <v>45</v>
      </c>
      <c r="E19" s="37" t="str">
        <f>IF('KPI scorecard'!C12="Higher is better","Higher better","Lower better")</f>
        <v>Higher better</v>
      </c>
      <c r="F19" s="38" t="str">
        <f>INDEX('KPI scorecard'!$F$26:$Q$26,$C$5)</f>
        <v>Red</v>
      </c>
      <c r="G19" s="46">
        <f>IF($C$5=1,"",INDEX('KPI scorecard'!$F$12:$Q$12,$C$5-1))</f>
        <v>39</v>
      </c>
      <c r="H19" s="47">
        <f>IF(OR(C19="",G19=""),"",C19-G19)</f>
        <v>-1.00176366843034</v>
      </c>
      <c r="I19" s="40" t="str">
        <f>IF(OR(C19="",G19=""),"",IF(C19=G19,"No change",IF((C19&gt;G19)=('KPI scorecard'!C12="Higher is better"),"Improving","Worsening")))</f>
        <v>Worsening</v>
      </c>
      <c r="J19" s="41" t="inlineStr">
        <is>
          <t>Supplier terms; paying earlier than agreed drains cash</t>
        </is>
      </c>
    </row>
    <row r="20" ht="24" customHeight="1">
      <c r="B20" s="34" t="str">
        <f>'KPI scorecard'!B13</f>
        <v>Days inventory outstanding (DIO)</v>
      </c>
      <c r="C20" s="45">
        <f>INDEX('KPI scorecard'!$F$13:$Q$13,$C$5)</f>
        <v>47.998556998557</v>
      </c>
      <c r="D20" s="46">
        <f>'KPI scorecard'!D13</f>
        <v>45</v>
      </c>
      <c r="E20" s="37" t="str">
        <f>IF('KPI scorecard'!C13="Higher is better","Higher better","Lower better")</f>
        <v>Lower better</v>
      </c>
      <c r="F20" s="38" t="str">
        <f>INDEX('KPI scorecard'!$F$27:$Q$27,$C$5)</f>
        <v>Amber</v>
      </c>
      <c r="G20" s="46">
        <f>IF($C$5=1,"",INDEX('KPI scorecard'!$F$13:$Q$13,$C$5-1))</f>
        <v>47.0016977928693</v>
      </c>
      <c r="H20" s="47">
        <f>IF(OR(C20="",G20=""),"",C20-G20)</f>
        <v>0.996859205687727</v>
      </c>
      <c r="I20" s="40" t="str">
        <f>IF(OR(C20="",G20=""),"",IF(C20=G20,"No change",IF((C20&gt;G20)=('KPI scorecard'!C13="Higher is better"),"Improving","Worsening")))</f>
        <v>Worsening</v>
      </c>
      <c r="J20" s="41" t="inlineStr">
        <is>
          <t>Slow-moving and excess stock, order quantities</t>
        </is>
      </c>
    </row>
    <row r="21" ht="24" customHeight="1">
      <c r="B21" s="34" t="str">
        <f>'KPI scorecard'!B14</f>
        <v>Cash conversion cycle (days)</v>
      </c>
      <c r="C21" s="45">
        <f>INDEX('KPI scorecard'!$F$14:$Q$14,$C$5)</f>
        <v>83.9995125861792</v>
      </c>
      <c r="D21" s="46">
        <f>'KPI scorecard'!D14</f>
        <v>60</v>
      </c>
      <c r="E21" s="37" t="str">
        <f>IF('KPI scorecard'!C14="Higher is better","Higher better","Lower better")</f>
        <v>Lower better</v>
      </c>
      <c r="F21" s="38" t="str">
        <f>INDEX('KPI scorecard'!$F$28:$Q$28,$C$5)</f>
        <v>Red</v>
      </c>
      <c r="G21" s="46">
        <f>IF($C$5=1,"",INDEX('KPI scorecard'!$F$14:$Q$14,$C$5-1))</f>
        <v>78.0027504244482</v>
      </c>
      <c r="H21" s="47">
        <f>IF(OR(C21="",G21=""),"",C21-G21)</f>
        <v>5.99676216173103</v>
      </c>
      <c r="I21" s="40" t="str">
        <f>IF(OR(C21="",G21=""),"",IF(C21=G21,"No change",IF((C21&gt;G21)=('KPI scorecard'!C14="Higher is better"),"Improving","Worsening")))</f>
        <v>Worsening</v>
      </c>
      <c r="J21" s="41" t="inlineStr">
        <is>
          <t>DSO, DIO and DPO: which of the three moved?</t>
        </is>
      </c>
    </row>
    <row r="22" ht="24" customHeight="1">
      <c r="B22" s="34" t="str">
        <f>'KPI scorecard'!B15</f>
        <v>Debt to equity (x)</v>
      </c>
      <c r="C22" s="42">
        <f>INDEX('KPI scorecard'!$F$15:$Q$15,$C$5)</f>
        <v>0.355512640449438</v>
      </c>
      <c r="D22" s="43">
        <f>'KPI scorecard'!D15</f>
        <v>0.5</v>
      </c>
      <c r="E22" s="37" t="str">
        <f>IF('KPI scorecard'!C15="Higher is better","Higher better","Lower better")</f>
        <v>Lower better</v>
      </c>
      <c r="F22" s="38" t="str">
        <f>INDEX('KPI scorecard'!$F$29:$Q$29,$C$5)</f>
        <v>Green</v>
      </c>
      <c r="G22" s="43">
        <f>IF($C$5=1,"",INDEX('KPI scorecard'!$F$15:$Q$15,$C$5-1))</f>
        <v>0.373389189927599</v>
      </c>
      <c r="H22" s="44">
        <f>IF(OR(C22="",G22=""),"",C22-G22)</f>
        <v>-0.0178765494781608</v>
      </c>
      <c r="I22" s="40" t="str">
        <f>IF(OR(C22="",G22=""),"",IF(C22=G22,"No change",IF((C22&gt;G22)=('KPI scorecard'!C15="Higher is better"),"Improving","Worsening")))</f>
        <v>Improving</v>
      </c>
      <c r="J22" s="41" t="inlineStr">
        <is>
          <t>New borrowing, losses reducing equity, repayment plan</t>
        </is>
      </c>
    </row>
    <row r="23" ht="24" customHeight="1">
      <c r="B23" s="34" t="str">
        <f>'KPI scorecard'!B16</f>
        <v>Revenue per employee (month)</v>
      </c>
      <c r="C23" s="48">
        <f>INDEX('KPI scorecard'!$F$16:$Q$16,$C$5)</f>
        <v>39600</v>
      </c>
      <c r="D23" s="49">
        <f>'KPI scorecard'!D16</f>
        <v>38000</v>
      </c>
      <c r="E23" s="37" t="str">
        <f>IF('KPI scorecard'!C16="Higher is better","Higher better","Lower better")</f>
        <v>Higher better</v>
      </c>
      <c r="F23" s="38" t="str">
        <f>INDEX('KPI scorecard'!$F$30:$Q$30,$C$5)</f>
        <v>Green</v>
      </c>
      <c r="G23" s="49">
        <f>IF($C$5=1,"",INDEX('KPI scorecard'!$F$16:$Q$16,$C$5-1))</f>
        <v>38000</v>
      </c>
      <c r="H23" s="50">
        <f>IF(OR(C23="",G23=""),"",C23-G23)</f>
        <v>1600</v>
      </c>
      <c r="I23" s="40" t="str">
        <f>IF(OR(C23="",G23=""),"",IF(C23=G23,"No change",IF((C23&gt;G23)=('KPI scorecard'!C16="Higher is better"),"Improving","Worsening")))</f>
        <v>Improving</v>
      </c>
      <c r="J23" s="41" t="inlineStr">
        <is>
          <t>Hiring ahead of sales, utilisation, pricing</t>
        </is>
      </c>
    </row>
    <row r="24" ht="24" customHeight="1">
      <c r="B24" s="34" t="str">
        <f>'KPI scorecard'!B17</f>
        <v>Cash runway (months)</v>
      </c>
      <c r="C24" s="51">
        <f>INDEX('KPI scorecard'!$F$17:$Q$17,$C$5)</f>
        <v>20.5</v>
      </c>
      <c r="D24" s="52">
        <f>'KPI scorecard'!D17</f>
        <v>12</v>
      </c>
      <c r="E24" s="37" t="str">
        <f>IF('KPI scorecard'!C17="Higher is better","Higher better","Lower better")</f>
        <v>Higher better</v>
      </c>
      <c r="F24" s="38" t="str">
        <f>INDEX('KPI scorecard'!$F$31:$Q$31,$C$5)</f>
        <v>Green</v>
      </c>
      <c r="G24" s="53">
        <f>IF($C$5=1,"",INDEX('KPI scorecard'!$F$17:$Q$17,$C$5-1))</f>
        <v>18.4285714285714</v>
      </c>
      <c r="H24" s="54">
        <f>IF(OR(C24="",G24=""),"",IF(OR(C24&gt;=99,G24&gt;=99),"",C24-G24))</f>
        <v>2.07142857142857</v>
      </c>
      <c r="I24" s="40" t="str">
        <f>IF(OR(C24="",G24=""),"",IF(C24=G24,"No change",IF((C24&gt;G24)=('KPI scorecard'!C17="Higher is better"),"Improving","Worsening")))</f>
        <v>Improving</v>
      </c>
      <c r="J24" s="41" t="inlineStr">
        <is>
          <t>Cash burn: collections, payment timing, spending, funding</t>
        </is>
      </c>
    </row>
    <row r="26">
      <c r="B26" s="19" t="inlineStr">
        <is>
          <t>Change and trend compare this month with last month. 'Improving' takes the direction into account (e.g. a lower DSO is an improvement).</t>
        </is>
      </c>
    </row>
    <row r="27">
      <c r="B27" s="19" t="inlineStr">
        <is>
          <t>Status needs a target on the KPI scorecard sheet. Targets in this file are examples only: set targets that fit your business, terms and plan.</t>
        </is>
      </c>
    </row>
    <row r="29">
      <c r="B29" s="20" t="inlineStr">
        <is>
          <t>axcellservice.com · Free template · Book a free 30-minute consultation: axcellservice.com/contact</t>
        </is>
      </c>
    </row>
  </sheetData>
  <mergeCells count="3">
    <mergeCell ref="B26:J26"/>
    <mergeCell ref="B27:J27"/>
    <mergeCell ref="D5:F5"/>
  </mergeCells>
  <conditionalFormatting sqref="F14:F24">
    <cfRule type="cellIs" priority="1" operator="equal" dxfId="0">
      <formula>"Green"</formula>
    </cfRule>
    <cfRule type="cellIs" priority="2" operator="equal" dxfId="1">
      <formula>"Amber"</formula>
    </cfRule>
    <cfRule type="cellIs" priority="3" operator="equal" dxfId="2">
      <formula>"Red"</formula>
    </cfRule>
  </conditionalFormatting>
  <conditionalFormatting sqref="I14:I24">
    <cfRule type="cellIs" priority="4" operator="equal" dxfId="3">
      <formula>"Worsening"</formula>
    </cfRule>
    <cfRule type="cellIs" priority="5" operator="equal" dxfId="4">
      <formula>"Improving"</formula>
    </cfRule>
  </conditionalFormatting>
  <dataValidations count="1">
    <dataValidation sqref="C5" showDropDown="0" showInputMessage="0" showErrorMessage="1" allowBlank="0" error="Choose a month number from 1 to 12." type="list">
      <formula1>"1,2,3,4,5,6,7,8,9,10,11,12"</formula1>
    </dataValidation>
  </dataValidations>
  <printOptions horizontalCentered="1"/>
  <pageMargins left="0.4" right="0.4" top="1" bottom="1" header="0.5" footer="0.5"/>
  <pageSetup orientation="landscape" paperSize="9" fitToHeight="1" fitToWidth="1"/>
  <headerFooter>
    <oddHeader/>
    <oddFooter>&amp;L&amp;8 Axcell Financial Consulting · axcellservice.com · Free template&amp;R&amp;8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B1:R36"/>
  <sheetViews>
    <sheetView showGridLines="0" workbookViewId="0">
      <pane xSplit="5" ySplit="6" topLeftCell="F7" activePane="bottomRight" state="frozen"/>
      <selection pane="topRight"/>
      <selection pane="bottomLeft"/>
      <selection pane="bottomRight" activeCell="A1" sqref="A1"/>
    </sheetView>
  </sheetViews>
  <sheetFormatPr baseColWidth="8" defaultRowHeight="15"/>
  <cols>
    <col width="2" customWidth="1" min="1" max="1"/>
    <col width="34" customWidth="1" min="2" max="2"/>
    <col width="15" customWidth="1" min="3" max="3"/>
    <col width="11" customWidth="1" min="4" max="4"/>
    <col width="9"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1" customWidth="1" min="18" max="18"/>
    <col width="2" customWidth="1" min="19" max="19"/>
  </cols>
  <sheetData>
    <row r="1" ht="26" customHeight="1">
      <c r="B1" s="21" t="inlineStr">
        <is>
          <t>KPI scorecard: 12 months against your targets</t>
        </is>
      </c>
    </row>
    <row r="2">
      <c r="B2" s="22" t="inlineStr">
        <is>
          <t>Axcell Financial Consulting · Monthly KPI Scorecard</t>
        </is>
      </c>
    </row>
    <row r="3">
      <c r="B3" s="19" t="str">
        <f>"Set your own target, direction and amber band (yellow). Monthly values are calculated from Monthly inputs. Amounts in "&amp;'Start here'!$C$22&amp;"."</f>
        <v>Set your own target, direction and amber band (yellow). Monthly values are calculated from Monthly inputs. Amounts in Your currency.</v>
      </c>
    </row>
    <row r="5" ht="30" customHeight="1">
      <c r="B5" s="55" t="inlineStr">
        <is>
          <t>KPI</t>
        </is>
      </c>
      <c r="C5" s="56" t="inlineStr">
        <is>
          <t>Direction</t>
        </is>
      </c>
      <c r="D5" s="56" t="inlineStr">
        <is>
          <t>Target</t>
        </is>
      </c>
      <c r="E5" s="56" t="inlineStr">
        <is>
          <t>Amber band</t>
        </is>
      </c>
      <c r="F5" s="57">
        <f>'Monthly inputs'!C5</f>
        <v>46023.0</v>
      </c>
      <c r="G5" s="57">
        <f>'Monthly inputs'!D5</f>
        <v>46054.0</v>
      </c>
      <c r="H5" s="57">
        <f>'Monthly inputs'!E5</f>
        <v>46082.0</v>
      </c>
      <c r="I5" s="57">
        <f>'Monthly inputs'!F5</f>
        <v>46113.0</v>
      </c>
      <c r="J5" s="57">
        <f>'Monthly inputs'!G5</f>
        <v>46143.0</v>
      </c>
      <c r="K5" s="57">
        <f>'Monthly inputs'!H5</f>
        <v>46174.0</v>
      </c>
      <c r="L5" s="57">
        <f>'Monthly inputs'!I5</f>
        <v>46204.0</v>
      </c>
      <c r="M5" s="57">
        <f>'Monthly inputs'!J5</f>
        <v>46235.0</v>
      </c>
      <c r="N5" s="57">
        <f>'Monthly inputs'!K5</f>
        <v>46266.0</v>
      </c>
      <c r="O5" s="57">
        <f>'Monthly inputs'!L5</f>
        <v>46296.0</v>
      </c>
      <c r="P5" s="57">
        <f>'Monthly inputs'!M5</f>
        <v>46327.0</v>
      </c>
      <c r="Q5" s="57">
        <f>'Monthly inputs'!N5</f>
        <v>46357.0</v>
      </c>
      <c r="R5" s="56" t="inlineStr">
        <is>
          <t>Average
(months entered)</t>
        </is>
      </c>
    </row>
    <row r="6">
      <c r="B6" s="22" t="inlineStr">
        <is>
          <t>Month number</t>
        </is>
      </c>
      <c r="F6" s="58" t="n">
        <v>1</v>
      </c>
      <c r="G6" s="58" t="n">
        <v>2</v>
      </c>
      <c r="H6" s="58" t="n">
        <v>3</v>
      </c>
      <c r="I6" s="58" t="n">
        <v>4</v>
      </c>
      <c r="J6" s="58" t="n">
        <v>5</v>
      </c>
      <c r="K6" s="58" t="n">
        <v>6</v>
      </c>
      <c r="L6" s="58" t="n">
        <v>7</v>
      </c>
      <c r="M6" s="58" t="n">
        <v>8</v>
      </c>
      <c r="N6" s="58" t="n">
        <v>9</v>
      </c>
      <c r="O6" s="58" t="n">
        <v>10</v>
      </c>
      <c r="P6" s="58" t="n">
        <v>11</v>
      </c>
      <c r="Q6" s="58" t="n">
        <v>12</v>
      </c>
    </row>
    <row r="7">
      <c r="B7" s="34" t="inlineStr">
        <is>
          <t>Gross margin %</t>
        </is>
      </c>
      <c r="C7" s="59" t="inlineStr">
        <is>
          <t>Higher is better</t>
        </is>
      </c>
      <c r="D7" s="60" t="n">
        <v>0.4</v>
      </c>
      <c r="E7" s="61" t="n">
        <v>0.1</v>
      </c>
      <c r="F7" s="62">
        <f>IF('Monthly inputs'!C28=0,"",IF('Monthly inputs'!C8&lt;=0,"",('Monthly inputs'!C8-'Monthly inputs'!C9)/'Monthly inputs'!C8))</f>
        <v>0.42</v>
      </c>
      <c r="G7" s="62">
        <f>IF('Monthly inputs'!D28=0,"",IF('Monthly inputs'!D8&lt;=0,"",('Monthly inputs'!D8-'Monthly inputs'!D9)/'Monthly inputs'!D8))</f>
        <v>0.42</v>
      </c>
      <c r="H7" s="62">
        <f>IF('Monthly inputs'!E28=0,"",IF('Monthly inputs'!E8&lt;=0,"",('Monthly inputs'!E8-'Monthly inputs'!E9)/'Monthly inputs'!E8))</f>
        <v>0.41</v>
      </c>
      <c r="I7" s="62">
        <f>IF('Monthly inputs'!F28=0,"",IF('Monthly inputs'!F8&lt;=0,"",('Monthly inputs'!F8-'Monthly inputs'!F9)/'Monthly inputs'!F8))</f>
        <v>0.41</v>
      </c>
      <c r="J7" s="62">
        <f>IF('Monthly inputs'!G28=0,"",IF('Monthly inputs'!G8&lt;=0,"",('Monthly inputs'!G8-'Monthly inputs'!G9)/'Monthly inputs'!G8))</f>
        <v>0.4</v>
      </c>
      <c r="K7" s="62">
        <f>IF('Monthly inputs'!H28=0,"",IF('Monthly inputs'!H8&lt;=0,"",('Monthly inputs'!H8-'Monthly inputs'!H9)/'Monthly inputs'!H8))</f>
        <v>0.4</v>
      </c>
      <c r="L7" s="62">
        <f>IF('Monthly inputs'!I28=0,"",IF('Monthly inputs'!I8&lt;=0,"",('Monthly inputs'!I8-'Monthly inputs'!I9)/'Monthly inputs'!I8))</f>
        <v>0.39</v>
      </c>
      <c r="M7" s="62">
        <f>IF('Monthly inputs'!J28=0,"",IF('Monthly inputs'!J8&lt;=0,"",('Monthly inputs'!J8-'Monthly inputs'!J9)/'Monthly inputs'!J8))</f>
        <v>0.38</v>
      </c>
      <c r="N7" s="62">
        <f>IF('Monthly inputs'!K28=0,"",IF('Monthly inputs'!K8&lt;=0,"",('Monthly inputs'!K8-'Monthly inputs'!K9)/'Monthly inputs'!K8))</f>
        <v>0.38</v>
      </c>
      <c r="O7" s="62">
        <f>IF('Monthly inputs'!L28=0,"",IF('Monthly inputs'!L8&lt;=0,"",('Monthly inputs'!L8-'Monthly inputs'!L9)/'Monthly inputs'!L8))</f>
        <v>0.37</v>
      </c>
      <c r="P7" s="62">
        <f>IF('Monthly inputs'!M28=0,"",IF('Monthly inputs'!M8&lt;=0,"",('Monthly inputs'!M8-'Monthly inputs'!M9)/'Monthly inputs'!M8))</f>
        <v/>
      </c>
      <c r="Q7" s="62">
        <f>IF('Monthly inputs'!N28=0,"",IF('Monthly inputs'!N8&lt;=0,"",('Monthly inputs'!N8-'Monthly inputs'!N9)/'Monthly inputs'!N8))</f>
        <v/>
      </c>
      <c r="R7" s="63">
        <f>IF(COUNT(F7:Q7)=0,"",AVERAGE(F7:Q7))</f>
        <v>0.398</v>
      </c>
    </row>
    <row r="8">
      <c r="B8" s="34" t="inlineStr">
        <is>
          <t>Net margin %</t>
        </is>
      </c>
      <c r="C8" s="59" t="inlineStr">
        <is>
          <t>Higher is better</t>
        </is>
      </c>
      <c r="D8" s="60" t="n">
        <v>0.08</v>
      </c>
      <c r="E8" s="61" t="n">
        <v>0.1</v>
      </c>
      <c r="F8" s="62">
        <f>IF('Monthly inputs'!C28=0,"",IF('Monthly inputs'!C8&lt;=0,"",'Monthly inputs'!C12/'Monthly inputs'!C8))</f>
        <v>0.0980487804878049</v>
      </c>
      <c r="G8" s="62">
        <f>IF('Monthly inputs'!D28=0,"",IF('Monthly inputs'!D8&lt;=0,"",'Monthly inputs'!D12/'Monthly inputs'!D8))</f>
        <v>0.0858227848101266</v>
      </c>
      <c r="H8" s="62">
        <f>IF('Monthly inputs'!E28=0,"",IF('Monthly inputs'!E8&lt;=0,"",'Monthly inputs'!E12/'Monthly inputs'!E8))</f>
        <v>0.098953488372093</v>
      </c>
      <c r="I8" s="62">
        <f>IF('Monthly inputs'!F28=0,"",IF('Monthly inputs'!F8&lt;=0,"",'Monthly inputs'!F12/'Monthly inputs'!F8))</f>
        <v>0.110555555555556</v>
      </c>
      <c r="J8" s="62">
        <f>IF('Monthly inputs'!G28=0,"",IF('Monthly inputs'!G8&lt;=0,"",'Monthly inputs'!G12/'Monthly inputs'!G8))</f>
        <v>0.11063829787234</v>
      </c>
      <c r="K8" s="62">
        <f>IF('Monthly inputs'!H28=0,"",IF('Monthly inputs'!H8&lt;=0,"",'Monthly inputs'!H12/'Monthly inputs'!H8))</f>
        <v>0.0909090909090909</v>
      </c>
      <c r="L8" s="62">
        <f>IF('Monthly inputs'!I28=0,"",IF('Monthly inputs'!I8&lt;=0,"",'Monthly inputs'!I12/'Monthly inputs'!I8))</f>
        <v>0.0580722891566265</v>
      </c>
      <c r="M8" s="62">
        <f>IF('Monthly inputs'!J28=0,"",IF('Monthly inputs'!J8&lt;=0,"",'Monthly inputs'!J12/'Monthly inputs'!J8))</f>
        <v>0.0593103448275862</v>
      </c>
      <c r="N8" s="62">
        <f>IF('Monthly inputs'!K28=0,"",IF('Monthly inputs'!K8&lt;=0,"",'Monthly inputs'!K12/'Monthly inputs'!K8))</f>
        <v>0.0836842105263158</v>
      </c>
      <c r="O8" s="62">
        <f>IF('Monthly inputs'!L28=0,"",IF('Monthly inputs'!L8&lt;=0,"",'Monthly inputs'!L12/'Monthly inputs'!L8))</f>
        <v>0.0831313131313131</v>
      </c>
      <c r="P8" s="62">
        <f>IF('Monthly inputs'!M28=0,"",IF('Monthly inputs'!M8&lt;=0,"",'Monthly inputs'!M12/'Monthly inputs'!M8))</f>
        <v/>
      </c>
      <c r="Q8" s="62">
        <f>IF('Monthly inputs'!N28=0,"",IF('Monthly inputs'!N8&lt;=0,"",'Monthly inputs'!N12/'Monthly inputs'!N8))</f>
        <v/>
      </c>
      <c r="R8" s="63">
        <f>IF(COUNT(F8:Q8)=0,"",AVERAGE(F8:Q8))</f>
        <v>0.0879126155648853</v>
      </c>
    </row>
    <row r="9">
      <c r="B9" s="34" t="inlineStr">
        <is>
          <t>Current ratio (x)</t>
        </is>
      </c>
      <c r="C9" s="59" t="inlineStr">
        <is>
          <t>Higher is better</t>
        </is>
      </c>
      <c r="D9" s="64" t="n">
        <v>1.5</v>
      </c>
      <c r="E9" s="61" t="n">
        <v>0.1</v>
      </c>
      <c r="F9" s="65">
        <f>IF('Monthly inputs'!C28=0,"",IF(N('Monthly inputs'!C21)&lt;=0,"",'Monthly inputs'!C18/'Monthly inputs'!C21))</f>
        <v>1.43299024626825</v>
      </c>
      <c r="G9" s="65">
        <f>IF('Monthly inputs'!D28=0,"",IF(N('Monthly inputs'!D21)&lt;=0,"",'Monthly inputs'!D18/'Monthly inputs'!D21))</f>
        <v>1.49731069394643</v>
      </c>
      <c r="H9" s="65">
        <f>IF('Monthly inputs'!E28=0,"",IF(N('Monthly inputs'!E21)&lt;=0,"",'Monthly inputs'!E18/'Monthly inputs'!E21))</f>
        <v>1.47503261153144</v>
      </c>
      <c r="I9" s="65">
        <f>IF('Monthly inputs'!F28=0,"",IF(N('Monthly inputs'!F21)&lt;=0,"",'Monthly inputs'!F18/'Monthly inputs'!F21))</f>
        <v>1.54305639781686</v>
      </c>
      <c r="J9" s="65">
        <f>IF('Monthly inputs'!G28=0,"",IF(N('Monthly inputs'!G21)&lt;=0,"",'Monthly inputs'!G18/'Monthly inputs'!G21))</f>
        <v>1.56802637405895</v>
      </c>
      <c r="K9" s="65">
        <f>IF('Monthly inputs'!H28=0,"",IF(N('Monthly inputs'!H21)&lt;=0,"",'Monthly inputs'!H18/'Monthly inputs'!H21))</f>
        <v>1.54624362495096</v>
      </c>
      <c r="L9" s="65">
        <f>IF('Monthly inputs'!I28=0,"",IF(N('Monthly inputs'!I21)&lt;=0,"",'Monthly inputs'!I18/'Monthly inputs'!I21))</f>
        <v>1.51050462404503</v>
      </c>
      <c r="M9" s="65">
        <f>IF('Monthly inputs'!J28=0,"",IF(N('Monthly inputs'!J21)&lt;=0,"",'Monthly inputs'!J18/'Monthly inputs'!J21))</f>
        <v>1.5619257086999</v>
      </c>
      <c r="N9" s="65">
        <f>IF('Monthly inputs'!K28=0,"",IF(N('Monthly inputs'!K21)&lt;=0,"",'Monthly inputs'!K18/'Monthly inputs'!K21))</f>
        <v>1.69152258004381</v>
      </c>
      <c r="O9" s="65">
        <f>IF('Monthly inputs'!L28=0,"",IF(N('Monthly inputs'!L21)&lt;=0,"",'Monthly inputs'!L18/'Monthly inputs'!L21))</f>
        <v>1.7390249485008</v>
      </c>
      <c r="P9" s="65">
        <f>IF('Monthly inputs'!M28=0,"",IF(N('Monthly inputs'!M21)&lt;=0,"",'Monthly inputs'!M18/'Monthly inputs'!M21))</f>
        <v/>
      </c>
      <c r="Q9" s="65">
        <f>IF('Monthly inputs'!N28=0,"",IF(N('Monthly inputs'!N21)&lt;=0,"",'Monthly inputs'!N18/'Monthly inputs'!N21))</f>
        <v/>
      </c>
      <c r="R9" s="66">
        <f>IF(COUNT(F9:Q9)=0,"",AVERAGE(F9:Q9))</f>
        <v>1.55656378098624</v>
      </c>
    </row>
    <row r="10">
      <c r="B10" s="34" t="inlineStr">
        <is>
          <t>Quick ratio (x)</t>
        </is>
      </c>
      <c r="C10" s="59" t="inlineStr">
        <is>
          <t>Higher is better</t>
        </is>
      </c>
      <c r="D10" s="64" t="n">
        <v>1</v>
      </c>
      <c r="E10" s="61" t="n">
        <v>0.1</v>
      </c>
      <c r="F10" s="65">
        <f>IF('Monthly inputs'!C28=0,"",IF(N('Monthly inputs'!C21)&lt;=0,"",('Monthly inputs'!C18-N('Monthly inputs'!C16))/'Monthly inputs'!C21))</f>
        <v>1.10227946327531</v>
      </c>
      <c r="G10" s="65">
        <f>IF('Monthly inputs'!D28=0,"",IF(N('Monthly inputs'!D21)&lt;=0,"",('Monthly inputs'!D18-N('Monthly inputs'!D16))/'Monthly inputs'!D21))</f>
        <v>1.14353511917317</v>
      </c>
      <c r="H10" s="65">
        <f>IF('Monthly inputs'!E28=0,"",IF(N('Monthly inputs'!E21)&lt;=0,"",('Monthly inputs'!E18-N('Monthly inputs'!E16))/'Monthly inputs'!E21))</f>
        <v>1.12486303156796</v>
      </c>
      <c r="I10" s="65">
        <f>IF('Monthly inputs'!F28=0,"",IF(N('Monthly inputs'!F21)&lt;=0,"",('Monthly inputs'!F18-N('Monthly inputs'!F16))/'Monthly inputs'!F21))</f>
        <v>1.16737416616131</v>
      </c>
      <c r="J10" s="65">
        <f>IF('Monthly inputs'!G28=0,"",IF(N('Monthly inputs'!G21)&lt;=0,"",('Monthly inputs'!G18-N('Monthly inputs'!G16))/'Monthly inputs'!G21))</f>
        <v>1.18309304728633</v>
      </c>
      <c r="K10" s="65">
        <f>IF('Monthly inputs'!H28=0,"",IF(N('Monthly inputs'!H21)&lt;=0,"",('Monthly inputs'!H18-N('Monthly inputs'!H16))/'Monthly inputs'!H21))</f>
        <v>1.16648685759121</v>
      </c>
      <c r="L10" s="65">
        <f>IF('Monthly inputs'!I28=0,"",IF(N('Monthly inputs'!I21)&lt;=0,"",('Monthly inputs'!I18-N('Monthly inputs'!I16))/'Monthly inputs'!I21))</f>
        <v>1.14108363490149</v>
      </c>
      <c r="M10" s="65">
        <f>IF('Monthly inputs'!J28=0,"",IF(N('Monthly inputs'!J21)&lt;=0,"",('Monthly inputs'!J18-N('Monthly inputs'!J16))/'Monthly inputs'!J21))</f>
        <v>1.17072336265885</v>
      </c>
      <c r="N10" s="65">
        <f>IF('Monthly inputs'!K28=0,"",IF(N('Monthly inputs'!K21)&lt;=0,"",('Monthly inputs'!K18-N('Monthly inputs'!K16))/'Monthly inputs'!K21))</f>
        <v>1.26145313883581</v>
      </c>
      <c r="O10" s="65">
        <f>IF('Monthly inputs'!L28=0,"",IF(N('Monthly inputs'!L21)&lt;=0,"",('Monthly inputs'!L18-N('Monthly inputs'!L16))/'Monthly inputs'!L21))</f>
        <v>1.29695582513161</v>
      </c>
      <c r="P10" s="65">
        <f>IF('Monthly inputs'!M28=0,"",IF(N('Monthly inputs'!M21)&lt;=0,"",('Monthly inputs'!M18-N('Monthly inputs'!M16))/'Monthly inputs'!M21))</f>
        <v/>
      </c>
      <c r="Q10" s="65">
        <f>IF('Monthly inputs'!N28=0,"",IF(N('Monthly inputs'!N21)&lt;=0,"",('Monthly inputs'!N18-N('Monthly inputs'!N16))/'Monthly inputs'!N21))</f>
        <v/>
      </c>
      <c r="R10" s="66">
        <f>IF(COUNT(F10:Q10)=0,"",AVERAGE(F10:Q10))</f>
        <v>1.1757847646583</v>
      </c>
    </row>
    <row r="11">
      <c r="B11" s="34" t="inlineStr">
        <is>
          <t>Days sales outstanding (DSO)</t>
        </is>
      </c>
      <c r="C11" s="59" t="inlineStr">
        <is>
          <t>Lower is better</t>
        </is>
      </c>
      <c r="D11" s="67" t="n">
        <v>60</v>
      </c>
      <c r="E11" s="61" t="n">
        <v>0.1</v>
      </c>
      <c r="F11" s="68">
        <f>IF('Monthly inputs'!C28=0,"",IF('Monthly inputs'!C8&lt;=0,"",N('Monthly inputs'!C15)/'Monthly inputs'!C8*'Monthly inputs'!C27))</f>
        <v>52.0006097560976</v>
      </c>
      <c r="G11" s="68">
        <f>IF('Monthly inputs'!D28=0,"",IF('Monthly inputs'!D8&lt;=0,"",N('Monthly inputs'!D15)/'Monthly inputs'!D8*'Monthly inputs'!D27))</f>
        <v>54.0010126582279</v>
      </c>
      <c r="H11" s="68">
        <f>IF('Monthly inputs'!E28=0,"",IF('Monthly inputs'!E8&lt;=0,"",N('Monthly inputs'!E15)/'Monthly inputs'!E8*'Monthly inputs'!E27))</f>
        <v>54.9997674418605</v>
      </c>
      <c r="I11" s="68">
        <f>IF('Monthly inputs'!F28=0,"",IF('Monthly inputs'!F8&lt;=0,"",N('Monthly inputs'!F15)/'Monthly inputs'!F8*'Monthly inputs'!F27))</f>
        <v>57</v>
      </c>
      <c r="J11" s="68">
        <f>IF('Monthly inputs'!G28=0,"",IF('Monthly inputs'!G8&lt;=0,"",N('Monthly inputs'!G15)/'Monthly inputs'!G8*'Monthly inputs'!G27))</f>
        <v>60.0014893617021</v>
      </c>
      <c r="K11" s="68">
        <f>IF('Monthly inputs'!H28=0,"",IF('Monthly inputs'!H8&lt;=0,"",N('Monthly inputs'!H15)/'Monthly inputs'!H8*'Monthly inputs'!H27))</f>
        <v>62.0011363636364</v>
      </c>
      <c r="L11" s="68">
        <f>IF('Monthly inputs'!I28=0,"",IF('Monthly inputs'!I8&lt;=0,"",N('Monthly inputs'!I15)/'Monthly inputs'!I8*'Monthly inputs'!I27))</f>
        <v>64.999156626506</v>
      </c>
      <c r="M11" s="68">
        <f>IF('Monthly inputs'!J28=0,"",IF('Monthly inputs'!J8&lt;=0,"",N('Monthly inputs'!J15)/'Monthly inputs'!J8*'Monthly inputs'!J27))</f>
        <v>66.9991954022989</v>
      </c>
      <c r="N11" s="68">
        <f>IF('Monthly inputs'!K28=0,"",IF('Monthly inputs'!K8&lt;=0,"",N('Monthly inputs'!K15)/'Monthly inputs'!K8*'Monthly inputs'!K27))</f>
        <v>70.0010526315789</v>
      </c>
      <c r="O11" s="68">
        <f>IF('Monthly inputs'!L28=0,"",IF('Monthly inputs'!L8&lt;=0,"",N('Monthly inputs'!L15)/'Monthly inputs'!L8*'Monthly inputs'!L27))</f>
        <v>73.9991919191919</v>
      </c>
      <c r="P11" s="68">
        <f>IF('Monthly inputs'!M28=0,"",IF('Monthly inputs'!M8&lt;=0,"",N('Monthly inputs'!M15)/'Monthly inputs'!M8*'Monthly inputs'!M27))</f>
        <v/>
      </c>
      <c r="Q11" s="68">
        <f>IF('Monthly inputs'!N28=0,"",IF('Monthly inputs'!N8&lt;=0,"",N('Monthly inputs'!N15)/'Monthly inputs'!N8*'Monthly inputs'!N27))</f>
        <v/>
      </c>
      <c r="R11" s="69">
        <f>IF(COUNT(F11:Q11)=0,"",AVERAGE(F11:Q11))</f>
        <v>61.60026121611</v>
      </c>
    </row>
    <row r="12">
      <c r="B12" s="34" t="inlineStr">
        <is>
          <t>Days payables outstanding (DPO)</t>
        </is>
      </c>
      <c r="C12" s="59" t="inlineStr">
        <is>
          <t>Higher is better</t>
        </is>
      </c>
      <c r="D12" s="67" t="n">
        <v>45</v>
      </c>
      <c r="E12" s="61" t="n">
        <v>0.1</v>
      </c>
      <c r="F12" s="68">
        <f>IF('Monthly inputs'!C28=0,"",IF(N('Monthly inputs'!C9)&lt;=0,"",N('Monthly inputs'!C19)/'Monthly inputs'!C9*'Monthly inputs'!C27))</f>
        <v>45.9981076534903</v>
      </c>
      <c r="G12" s="68">
        <f>IF('Monthly inputs'!D28=0,"",IF(N('Monthly inputs'!D9)&lt;=0,"",N('Monthly inputs'!D19)/'Monthly inputs'!D9*'Monthly inputs'!D27))</f>
        <v>45.0004364906155</v>
      </c>
      <c r="H12" s="68">
        <f>IF('Monthly inputs'!E28=0,"",IF(N('Monthly inputs'!E9)&lt;=0,"",N('Monthly inputs'!E19)/'Monthly inputs'!E9*'Monthly inputs'!E27))</f>
        <v>44.9970437524635</v>
      </c>
      <c r="I12" s="68">
        <f>IF('Monthly inputs'!F28=0,"",IF(N('Monthly inputs'!F9)&lt;=0,"",N('Monthly inputs'!F19)/'Monthly inputs'!F9*'Monthly inputs'!F27))</f>
        <v>44</v>
      </c>
      <c r="J12" s="68">
        <f>IF('Monthly inputs'!G28=0,"",IF(N('Monthly inputs'!G9)&lt;=0,"",N('Monthly inputs'!G19)/'Monthly inputs'!G9*'Monthly inputs'!G27))</f>
        <v>42.9987588652482</v>
      </c>
      <c r="K12" s="68">
        <f>IF('Monthly inputs'!H28=0,"",IF(N('Monthly inputs'!H9)&lt;=0,"",N('Monthly inputs'!H19)/'Monthly inputs'!H9*'Monthly inputs'!H27))</f>
        <v>42</v>
      </c>
      <c r="L12" s="68">
        <f>IF('Monthly inputs'!I28=0,"",IF(N('Monthly inputs'!I9)&lt;=0,"",N('Monthly inputs'!I19)/'Monthly inputs'!I9*'Monthly inputs'!I27))</f>
        <v>40.9986174205017</v>
      </c>
      <c r="M12" s="68">
        <f>IF('Monthly inputs'!J28=0,"",IF(N('Monthly inputs'!J9)&lt;=0,"",N('Monthly inputs'!J19)/'Monthly inputs'!J9*'Monthly inputs'!J27))</f>
        <v>40</v>
      </c>
      <c r="N12" s="68">
        <f>IF('Monthly inputs'!K28=0,"",IF(N('Monthly inputs'!K9)&lt;=0,"",N('Monthly inputs'!K19)/'Monthly inputs'!K9*'Monthly inputs'!K27))</f>
        <v>39</v>
      </c>
      <c r="O12" s="68">
        <f>IF('Monthly inputs'!L28=0,"",IF(N('Monthly inputs'!L9)&lt;=0,"",N('Monthly inputs'!L19)/'Monthly inputs'!L9*'Monthly inputs'!L27))</f>
        <v>37.9982363315697</v>
      </c>
      <c r="P12" s="68">
        <f>IF('Monthly inputs'!M28=0,"",IF(N('Monthly inputs'!M9)&lt;=0,"",N('Monthly inputs'!M19)/'Monthly inputs'!M9*'Monthly inputs'!M27))</f>
        <v/>
      </c>
      <c r="Q12" s="68">
        <f>IF('Monthly inputs'!N28=0,"",IF(N('Monthly inputs'!N9)&lt;=0,"",N('Monthly inputs'!N19)/'Monthly inputs'!N9*'Monthly inputs'!N27))</f>
        <v/>
      </c>
      <c r="R12" s="69">
        <f>IF(COUNT(F12:Q12)=0,"",AVERAGE(F12:Q12))</f>
        <v>42.2991200513889</v>
      </c>
    </row>
    <row r="13">
      <c r="B13" s="34" t="inlineStr">
        <is>
          <t>Days inventory outstanding (DIO)</t>
        </is>
      </c>
      <c r="C13" s="59" t="inlineStr">
        <is>
          <t>Lower is better</t>
        </is>
      </c>
      <c r="D13" s="67" t="n">
        <v>45</v>
      </c>
      <c r="E13" s="61" t="n">
        <v>0.1</v>
      </c>
      <c r="F13" s="68">
        <f>IF('Monthly inputs'!C28=0,"",IF(N('Monthly inputs'!C9)&lt;=0,"",N('Monthly inputs'!C16)/'Monthly inputs'!C9*'Monthly inputs'!C27))</f>
        <v>40.0014718250631</v>
      </c>
      <c r="G13" s="68">
        <f>IF('Monthly inputs'!D28=0,"",IF(N('Monthly inputs'!D9)&lt;=0,"",N('Monthly inputs'!D16)/'Monthly inputs'!D9*'Monthly inputs'!D27))</f>
        <v>40.9978175469227</v>
      </c>
      <c r="H13" s="68">
        <f>IF('Monthly inputs'!E28=0,"",IF(N('Monthly inputs'!E9)&lt;=0,"",N('Monthly inputs'!E16)/'Monthly inputs'!E9*'Monthly inputs'!E27))</f>
        <v>41.0013795821837</v>
      </c>
      <c r="I13" s="68">
        <f>IF('Monthly inputs'!F28=0,"",IF(N('Monthly inputs'!F9)&lt;=0,"",N('Monthly inputs'!F16)/'Monthly inputs'!F9*'Monthly inputs'!F27))</f>
        <v>42</v>
      </c>
      <c r="J13" s="68">
        <f>IF('Monthly inputs'!G28=0,"",IF(N('Monthly inputs'!G9)&lt;=0,"",N('Monthly inputs'!G16)/'Monthly inputs'!G9*'Monthly inputs'!G27))</f>
        <v>42.9987588652482</v>
      </c>
      <c r="K13" s="68">
        <f>IF('Monthly inputs'!H28=0,"",IF(N('Monthly inputs'!H9)&lt;=0,"",N('Monthly inputs'!H16)/'Monthly inputs'!H9*'Monthly inputs'!H27))</f>
        <v>44</v>
      </c>
      <c r="L13" s="68">
        <f>IF('Monthly inputs'!I28=0,"",IF(N('Monthly inputs'!I9)&lt;=0,"",N('Monthly inputs'!I16)/'Monthly inputs'!I9*'Monthly inputs'!I27))</f>
        <v>45.0029626703536</v>
      </c>
      <c r="M13" s="68">
        <f>IF('Monthly inputs'!J28=0,"",IF(N('Monthly inputs'!J9)&lt;=0,"",N('Monthly inputs'!J16)/'Monthly inputs'!J9*'Monthly inputs'!J27))</f>
        <v>46</v>
      </c>
      <c r="N13" s="68">
        <f>IF('Monthly inputs'!K28=0,"",IF(N('Monthly inputs'!K9)&lt;=0,"",N('Monthly inputs'!K16)/'Monthly inputs'!K9*'Monthly inputs'!K27))</f>
        <v>47.0016977928693</v>
      </c>
      <c r="O13" s="68">
        <f>IF('Monthly inputs'!L28=0,"",IF(N('Monthly inputs'!L9)&lt;=0,"",N('Monthly inputs'!L16)/'Monthly inputs'!L9*'Monthly inputs'!L27))</f>
        <v>47.998556998557</v>
      </c>
      <c r="P13" s="68">
        <f>IF('Monthly inputs'!M28=0,"",IF(N('Monthly inputs'!M9)&lt;=0,"",N('Monthly inputs'!M16)/'Monthly inputs'!M9*'Monthly inputs'!M27))</f>
        <v/>
      </c>
      <c r="Q13" s="68">
        <f>IF('Monthly inputs'!N28=0,"",IF(N('Monthly inputs'!N9)&lt;=0,"",N('Monthly inputs'!N16)/'Monthly inputs'!N9*'Monthly inputs'!N27))</f>
        <v/>
      </c>
      <c r="R13" s="69">
        <f>IF(COUNT(F13:Q13)=0,"",AVERAGE(F13:Q13))</f>
        <v>43.7002645281198</v>
      </c>
    </row>
    <row r="14">
      <c r="B14" s="34" t="inlineStr">
        <is>
          <t>Cash conversion cycle (days)</t>
        </is>
      </c>
      <c r="C14" s="59" t="inlineStr">
        <is>
          <t>Lower is better</t>
        </is>
      </c>
      <c r="D14" s="67" t="n">
        <v>60</v>
      </c>
      <c r="E14" s="61" t="n">
        <v>0.1</v>
      </c>
      <c r="F14" s="68">
        <f>IF(OR(F11="",F13="",F12=""),"",F11+F13-F12)</f>
        <v>46.0039739276703</v>
      </c>
      <c r="G14" s="68">
        <f>IF(OR(G11="",G13="",G12=""),"",G11+G13-G12)</f>
        <v>49.9983937145352</v>
      </c>
      <c r="H14" s="68">
        <f>IF(OR(H11="",H13="",H12=""),"",H11+H13-H12)</f>
        <v>51.0041032715806</v>
      </c>
      <c r="I14" s="68">
        <f>IF(OR(I11="",I13="",I12=""),"",I11+I13-I12)</f>
        <v>55</v>
      </c>
      <c r="J14" s="68">
        <f>IF(OR(J11="",J13="",J12=""),"",J11+J13-J12)</f>
        <v>60.0014893617021</v>
      </c>
      <c r="K14" s="68">
        <f>IF(OR(K11="",K13="",K12=""),"",K11+K13-K12)</f>
        <v>64.0011363636364</v>
      </c>
      <c r="L14" s="68">
        <f>IF(OR(L11="",L13="",L12=""),"",L11+L13-L12)</f>
        <v>69.0035018763579</v>
      </c>
      <c r="M14" s="68">
        <f>IF(OR(M11="",M13="",M12=""),"",M11+M13-M12)</f>
        <v>72.9991954022989</v>
      </c>
      <c r="N14" s="68">
        <f>IF(OR(N11="",N13="",N12=""),"",N11+N13-N12)</f>
        <v>78.0027504244482</v>
      </c>
      <c r="O14" s="68">
        <f>IF(OR(O11="",O13="",O12=""),"",O11+O13-O12)</f>
        <v>83.9995125861792</v>
      </c>
      <c r="P14" s="68">
        <f>IF(OR(P11="",P13="",P12=""),"",P11+P13-P12)</f>
        <v/>
      </c>
      <c r="Q14" s="68">
        <f>IF(OR(Q11="",Q13="",Q12=""),"",Q11+Q13-Q12)</f>
        <v/>
      </c>
      <c r="R14" s="69">
        <f>IF(COUNT(F14:Q14)=0,"",AVERAGE(F14:Q14))</f>
        <v>63.0014056928409</v>
      </c>
    </row>
    <row r="15">
      <c r="B15" s="34" t="inlineStr">
        <is>
          <t>Debt to equity (x)</t>
        </is>
      </c>
      <c r="C15" s="59" t="inlineStr">
        <is>
          <t>Lower is better</t>
        </is>
      </c>
      <c r="D15" s="64" t="n">
        <v>0.5</v>
      </c>
      <c r="E15" s="61" t="n">
        <v>0.1</v>
      </c>
      <c r="F15" s="65">
        <f>IF('Monthly inputs'!C28=0,"",IF(N('Monthly inputs'!C23)&lt;=0,"",N('Monthly inputs'!C22)/'Monthly inputs'!C23))</f>
        <v>0.569476082004556</v>
      </c>
      <c r="G15" s="65">
        <f>IF('Monthly inputs'!D28=0,"",IF(N('Monthly inputs'!D23)&lt;=0,"",N('Monthly inputs'!D22)/'Monthly inputs'!D23))</f>
        <v>0.539983011770416</v>
      </c>
      <c r="H15" s="65">
        <f>IF('Monthly inputs'!E28=0,"",IF(N('Monthly inputs'!E23)&lt;=0,"",N('Monthly inputs'!E22)/'Monthly inputs'!E23))</f>
        <v>0.507702071193677</v>
      </c>
      <c r="I15" s="65">
        <f>IF('Monthly inputs'!F28=0,"",IF(N('Monthly inputs'!F23)&lt;=0,"",N('Monthly inputs'!F22)/'Monthly inputs'!F23))</f>
        <v>0.474683544303797</v>
      </c>
      <c r="J15" s="65">
        <f>IF('Monthly inputs'!G28=0,"",IF(N('Monthly inputs'!G23)&lt;=0,"",N('Monthly inputs'!G22)/'Monthly inputs'!G23))</f>
        <v>0.444031391986782</v>
      </c>
      <c r="K15" s="65">
        <f>IF('Monthly inputs'!H28=0,"",IF(N('Monthly inputs'!H23)&lt;=0,"",N('Monthly inputs'!H22)/'Monthly inputs'!H23))</f>
        <v>0.421459738199127</v>
      </c>
      <c r="L15" s="65">
        <f>IF('Monthly inputs'!I28=0,"",IF(N('Monthly inputs'!I23)&lt;=0,"",N('Monthly inputs'!I22)/'Monthly inputs'!I23))</f>
        <v>0.406779661016949</v>
      </c>
      <c r="M15" s="65">
        <f>IF('Monthly inputs'!J28=0,"",IF(N('Monthly inputs'!J23)&lt;=0,"",N('Monthly inputs'!J22)/'Monthly inputs'!J23))</f>
        <v>0.392138335065671</v>
      </c>
      <c r="N15" s="65">
        <f>IF('Monthly inputs'!K28=0,"",IF(N('Monthly inputs'!K23)&lt;=0,"",N('Monthly inputs'!K22)/'Monthly inputs'!K23))</f>
        <v>0.373389189927599</v>
      </c>
      <c r="O15" s="65">
        <f>IF('Monthly inputs'!L28=0,"",IF(N('Monthly inputs'!L23)&lt;=0,"",N('Monthly inputs'!L22)/'Monthly inputs'!L23))</f>
        <v>0.355512640449438</v>
      </c>
      <c r="P15" s="65">
        <f>IF('Monthly inputs'!M28=0,"",IF(N('Monthly inputs'!M23)&lt;=0,"",N('Monthly inputs'!M22)/'Monthly inputs'!M23))</f>
        <v/>
      </c>
      <c r="Q15" s="65">
        <f>IF('Monthly inputs'!N28=0,"",IF(N('Monthly inputs'!N23)&lt;=0,"",N('Monthly inputs'!N22)/'Monthly inputs'!N23))</f>
        <v/>
      </c>
      <c r="R15" s="66">
        <f>IF(COUNT(F15:Q15)=0,"",AVERAGE(F15:Q15))</f>
        <v>0.448515566591801</v>
      </c>
    </row>
    <row r="16">
      <c r="B16" s="34" t="inlineStr">
        <is>
          <t>Revenue per employee (month)</t>
        </is>
      </c>
      <c r="C16" s="59" t="inlineStr">
        <is>
          <t>Higher is better</t>
        </is>
      </c>
      <c r="D16" s="70" t="n">
        <v>38000</v>
      </c>
      <c r="E16" s="61" t="n">
        <v>0.1</v>
      </c>
      <c r="F16" s="71">
        <f>IF('Monthly inputs'!C28=0,"",IF(N('Monthly inputs'!C25)&lt;=0,"",'Monthly inputs'!C8/'Monthly inputs'!C25))</f>
        <v>37272.7272727273</v>
      </c>
      <c r="G16" s="71">
        <f>IF('Monthly inputs'!D28=0,"",IF(N('Monthly inputs'!D25)&lt;=0,"",'Monthly inputs'!D8/'Monthly inputs'!D25))</f>
        <v>35909.0909090909</v>
      </c>
      <c r="H16" s="71">
        <f>IF('Monthly inputs'!E28=0,"",IF(N('Monthly inputs'!E25)&lt;=0,"",'Monthly inputs'!E8/'Monthly inputs'!E25))</f>
        <v>37391.3043478261</v>
      </c>
      <c r="I16" s="71">
        <f>IF('Monthly inputs'!F28=0,"",IF(N('Monthly inputs'!F25)&lt;=0,"",'Monthly inputs'!F8/'Monthly inputs'!F25))</f>
        <v>39130.4347826087</v>
      </c>
      <c r="J16" s="71">
        <f>IF('Monthly inputs'!G28=0,"",IF(N('Monthly inputs'!G25)&lt;=0,"",'Monthly inputs'!G8/'Monthly inputs'!G25))</f>
        <v>40869.5652173913</v>
      </c>
      <c r="K16" s="71">
        <f>IF('Monthly inputs'!H28=0,"",IF(N('Monthly inputs'!H25)&lt;=0,"",'Monthly inputs'!H8/'Monthly inputs'!H25))</f>
        <v>36666.6666666667</v>
      </c>
      <c r="L16" s="71">
        <f>IF('Monthly inputs'!I28=0,"",IF(N('Monthly inputs'!I25)&lt;=0,"",'Monthly inputs'!I8/'Monthly inputs'!I25))</f>
        <v>34583.3333333333</v>
      </c>
      <c r="M16" s="71">
        <f>IF('Monthly inputs'!J28=0,"",IF(N('Monthly inputs'!J25)&lt;=0,"",'Monthly inputs'!J8/'Monthly inputs'!J25))</f>
        <v>36250</v>
      </c>
      <c r="N16" s="71">
        <f>IF('Monthly inputs'!K28=0,"",IF(N('Monthly inputs'!K25)&lt;=0,"",'Monthly inputs'!K8/'Monthly inputs'!K25))</f>
        <v>38000</v>
      </c>
      <c r="O16" s="71">
        <f>IF('Monthly inputs'!L28=0,"",IF(N('Monthly inputs'!L25)&lt;=0,"",'Monthly inputs'!L8/'Monthly inputs'!L25))</f>
        <v>39600</v>
      </c>
      <c r="P16" s="71">
        <f>IF('Monthly inputs'!M28=0,"",IF(N('Monthly inputs'!M25)&lt;=0,"",'Monthly inputs'!M8/'Monthly inputs'!M25))</f>
        <v/>
      </c>
      <c r="Q16" s="71">
        <f>IF('Monthly inputs'!N28=0,"",IF(N('Monthly inputs'!N25)&lt;=0,"",'Monthly inputs'!N8/'Monthly inputs'!N25))</f>
        <v/>
      </c>
      <c r="R16" s="72">
        <f>IF(COUNT(F16:Q16)=0,"",AVERAGE(F16:Q16))</f>
        <v>37567.3122529644</v>
      </c>
    </row>
    <row r="17">
      <c r="B17" s="34" t="inlineStr">
        <is>
          <t>Cash runway (months)</t>
        </is>
      </c>
      <c r="C17" s="59" t="inlineStr">
        <is>
          <t>Higher is better</t>
        </is>
      </c>
      <c r="D17" s="73" t="n">
        <v>12</v>
      </c>
      <c r="E17" s="61" t="n">
        <v>0.1</v>
      </c>
      <c r="F17" s="74">
        <f>IF('Monthly inputs'!C28=0,"",IF(AVERAGE('Monthly inputs'!C29:C29)&lt;=0,99,MAX(0,MIN(99,N('Monthly inputs'!C14)/AVERAGE('Monthly inputs'!C29:C29)))))</f>
        <v>20.3333333333333</v>
      </c>
      <c r="G17" s="74">
        <f>IF('Monthly inputs'!D28=0,"",IF(AVERAGE('Monthly inputs'!C29:D29)&lt;=0,99,MAX(0,MIN(99,N('Monthly inputs'!D14)/AVERAGE('Monthly inputs'!C29:D29)))))</f>
        <v>21.2727272727273</v>
      </c>
      <c r="H17" s="74">
        <f>IF('Monthly inputs'!E28=0,"",IF(AVERAGE('Monthly inputs'!C29:E29)&lt;=0,99,MAX(0,MIN(99,N('Monthly inputs'!E14)/AVERAGE('Monthly inputs'!C29:E29)))))</f>
        <v>24.4285714285714</v>
      </c>
      <c r="I17" s="74">
        <f>IF('Monthly inputs'!F28=0,"",IF(AVERAGE('Monthly inputs'!D29:F29)&lt;=0,99,MAX(0,MIN(99,N('Monthly inputs'!F14)/AVERAGE('Monthly inputs'!D29:F29)))))</f>
        <v>23.1428571428571</v>
      </c>
      <c r="J17" s="74">
        <f>IF('Monthly inputs'!G28=0,"",IF(AVERAGE('Monthly inputs'!E29:G29)&lt;=0,99,MAX(0,MIN(99,N('Monthly inputs'!G14)/AVERAGE('Monthly inputs'!E29:G29)))))</f>
        <v>26.25</v>
      </c>
      <c r="K17" s="74">
        <f>IF('Monthly inputs'!H28=0,"",IF(AVERAGE('Monthly inputs'!F29:H29)&lt;=0,99,MAX(0,MIN(99,N('Monthly inputs'!H14)/AVERAGE('Monthly inputs'!F29:H29)))))</f>
        <v>21.4285714285714</v>
      </c>
      <c r="L17" s="74">
        <f>IF('Monthly inputs'!I28=0,"",IF(AVERAGE('Monthly inputs'!G29:I29)&lt;=0,99,MAX(0,MIN(99,N('Monthly inputs'!I14)/AVERAGE('Monthly inputs'!G29:I29)))))</f>
        <v>20.1428571428571</v>
      </c>
      <c r="M17" s="74">
        <f>IF('Monthly inputs'!J28=0,"",IF(AVERAGE('Monthly inputs'!H29:J29)&lt;=0,99,MAX(0,MIN(99,N('Monthly inputs'!J14)/AVERAGE('Monthly inputs'!H29:J29)))))</f>
        <v>19.5</v>
      </c>
      <c r="N17" s="74">
        <f>IF('Monthly inputs'!K28=0,"",IF(AVERAGE('Monthly inputs'!I29:K29)&lt;=0,99,MAX(0,MIN(99,N('Monthly inputs'!K14)/AVERAGE('Monthly inputs'!I29:K29)))))</f>
        <v>18.4285714285714</v>
      </c>
      <c r="O17" s="74">
        <f>IF('Monthly inputs'!L28=0,"",IF(AVERAGE('Monthly inputs'!J29:L29)&lt;=0,99,MAX(0,MIN(99,N('Monthly inputs'!L14)/AVERAGE('Monthly inputs'!J29:L29)))))</f>
        <v>20.5</v>
      </c>
      <c r="P17" s="74">
        <f>IF('Monthly inputs'!M28=0,"",IF(AVERAGE('Monthly inputs'!K29:M29)&lt;=0,99,MAX(0,MIN(99,N('Monthly inputs'!M14)/AVERAGE('Monthly inputs'!K29:M29)))))</f>
        <v/>
      </c>
      <c r="Q17" s="74">
        <f>IF('Monthly inputs'!N28=0,"",IF(AVERAGE('Monthly inputs'!L29:N29)&lt;=0,99,MAX(0,MIN(99,N('Monthly inputs'!N14)/AVERAGE('Monthly inputs'!L29:N29)))))</f>
        <v/>
      </c>
      <c r="R17" s="75" t="inlineStr">
        <is>
          <t>n/a</t>
        </is>
      </c>
    </row>
    <row r="18">
      <c r="B18" s="19" t="inlineStr">
        <is>
          <t>Runway shows 'No burn' when cash did not fall on average over the last 3 months. Averages are simple averages of the monthly values.</t>
        </is>
      </c>
    </row>
    <row r="19">
      <c r="B19" s="4" t="inlineStr">
        <is>
          <t>RED / AMBER / GREEN STATUS BY MONTH (calculated)</t>
        </is>
      </c>
      <c r="C19" s="5" t="n"/>
      <c r="D19" s="5" t="n"/>
      <c r="E19" s="5" t="n"/>
      <c r="F19" s="5" t="n"/>
      <c r="G19" s="5" t="n"/>
      <c r="H19" s="5" t="n"/>
      <c r="I19" s="5" t="n"/>
      <c r="J19" s="5" t="n"/>
      <c r="K19" s="5" t="n"/>
      <c r="L19" s="5" t="n"/>
      <c r="M19" s="5" t="n"/>
      <c r="N19" s="5" t="n"/>
      <c r="O19" s="5" t="n"/>
      <c r="P19" s="5" t="n"/>
      <c r="Q19" s="5" t="n"/>
      <c r="R19" s="5" t="n"/>
    </row>
    <row r="20">
      <c r="B20" s="34" t="inlineStr">
        <is>
          <t>KPI</t>
        </is>
      </c>
      <c r="C20" s="31" t="n"/>
      <c r="D20" s="31" t="n"/>
      <c r="E20" s="31" t="n"/>
      <c r="F20" s="76">
        <f>F5</f>
        <v>46023.0</v>
      </c>
      <c r="G20" s="76">
        <f>G5</f>
        <v>46054.0</v>
      </c>
      <c r="H20" s="76">
        <f>H5</f>
        <v>46082.0</v>
      </c>
      <c r="I20" s="76">
        <f>I5</f>
        <v>46113.0</v>
      </c>
      <c r="J20" s="76">
        <f>J5</f>
        <v>46143.0</v>
      </c>
      <c r="K20" s="76">
        <f>K5</f>
        <v>46174.0</v>
      </c>
      <c r="L20" s="76">
        <f>L5</f>
        <v>46204.0</v>
      </c>
      <c r="M20" s="76">
        <f>M5</f>
        <v>46235.0</v>
      </c>
      <c r="N20" s="76">
        <f>N5</f>
        <v>46266.0</v>
      </c>
      <c r="O20" s="76">
        <f>O5</f>
        <v>46296.0</v>
      </c>
      <c r="P20" s="76">
        <f>P5</f>
        <v>46327.0</v>
      </c>
      <c r="Q20" s="76">
        <f>Q5</f>
        <v>46357.0</v>
      </c>
      <c r="R20" s="77" t="inlineStr">
        <is>
          <t>Average</t>
        </is>
      </c>
    </row>
    <row r="21">
      <c r="B21" s="78" t="str">
        <f>B7</f>
        <v>Gross margin %</v>
      </c>
      <c r="C21" s="31" t="n"/>
      <c r="D21" s="31" t="n"/>
      <c r="E21" s="31" t="n"/>
      <c r="F21" s="79" t="str">
        <f>IF(OR(F7="",$D7=""),"",IF(IF($C7="Lower is better",$D7-F7,F7-$D7)&gt;=0,"Green",IF($D7=0,"Red",IF(IF($C7="Lower is better",$D7-F7,F7-$D7)/ABS($D7)&gt;=-$E7,"Amber","Red"))))</f>
        <v>Green</v>
      </c>
      <c r="G21" s="79" t="str">
        <f>IF(OR(G7="",$D7=""),"",IF(IF($C7="Lower is better",$D7-G7,G7-$D7)&gt;=0,"Green",IF($D7=0,"Red",IF(IF($C7="Lower is better",$D7-G7,G7-$D7)/ABS($D7)&gt;=-$E7,"Amber","Red"))))</f>
        <v>Green</v>
      </c>
      <c r="H21" s="79" t="str">
        <f>IF(OR(H7="",$D7=""),"",IF(IF($C7="Lower is better",$D7-H7,H7-$D7)&gt;=0,"Green",IF($D7=0,"Red",IF(IF($C7="Lower is better",$D7-H7,H7-$D7)/ABS($D7)&gt;=-$E7,"Amber","Red"))))</f>
        <v>Green</v>
      </c>
      <c r="I21" s="79" t="str">
        <f>IF(OR(I7="",$D7=""),"",IF(IF($C7="Lower is better",$D7-I7,I7-$D7)&gt;=0,"Green",IF($D7=0,"Red",IF(IF($C7="Lower is better",$D7-I7,I7-$D7)/ABS($D7)&gt;=-$E7,"Amber","Red"))))</f>
        <v>Green</v>
      </c>
      <c r="J21" s="79" t="str">
        <f>IF(OR(J7="",$D7=""),"",IF(IF($C7="Lower is better",$D7-J7,J7-$D7)&gt;=0,"Green",IF($D7=0,"Red",IF(IF($C7="Lower is better",$D7-J7,J7-$D7)/ABS($D7)&gt;=-$E7,"Amber","Red"))))</f>
        <v>Green</v>
      </c>
      <c r="K21" s="79" t="str">
        <f>IF(OR(K7="",$D7=""),"",IF(IF($C7="Lower is better",$D7-K7,K7-$D7)&gt;=0,"Green",IF($D7=0,"Red",IF(IF($C7="Lower is better",$D7-K7,K7-$D7)/ABS($D7)&gt;=-$E7,"Amber","Red"))))</f>
        <v>Green</v>
      </c>
      <c r="L21" s="79" t="str">
        <f>IF(OR(L7="",$D7=""),"",IF(IF($C7="Lower is better",$D7-L7,L7-$D7)&gt;=0,"Green",IF($D7=0,"Red",IF(IF($C7="Lower is better",$D7-L7,L7-$D7)/ABS($D7)&gt;=-$E7,"Amber","Red"))))</f>
        <v>Amber</v>
      </c>
      <c r="M21" s="79" t="str">
        <f>IF(OR(M7="",$D7=""),"",IF(IF($C7="Lower is better",$D7-M7,M7-$D7)&gt;=0,"Green",IF($D7=0,"Red",IF(IF($C7="Lower is better",$D7-M7,M7-$D7)/ABS($D7)&gt;=-$E7,"Amber","Red"))))</f>
        <v>Amber</v>
      </c>
      <c r="N21" s="79" t="str">
        <f>IF(OR(N7="",$D7=""),"",IF(IF($C7="Lower is better",$D7-N7,N7-$D7)&gt;=0,"Green",IF($D7=0,"Red",IF(IF($C7="Lower is better",$D7-N7,N7-$D7)/ABS($D7)&gt;=-$E7,"Amber","Red"))))</f>
        <v>Amber</v>
      </c>
      <c r="O21" s="79" t="str">
        <f>IF(OR(O7="",$D7=""),"",IF(IF($C7="Lower is better",$D7-O7,O7-$D7)&gt;=0,"Green",IF($D7=0,"Red",IF(IF($C7="Lower is better",$D7-O7,O7-$D7)/ABS($D7)&gt;=-$E7,"Amber","Red"))))</f>
        <v>Amber</v>
      </c>
      <c r="P21" s="79">
        <f>IF(OR(P7="",$D7=""),"",IF(IF($C7="Lower is better",$D7-P7,P7-$D7)&gt;=0,"Green",IF($D7=0,"Red",IF(IF($C7="Lower is better",$D7-P7,P7-$D7)/ABS($D7)&gt;=-$E7,"Amber","Red"))))</f>
        <v/>
      </c>
      <c r="Q21" s="79">
        <f>IF(OR(Q7="",$D7=""),"",IF(IF($C7="Lower is better",$D7-Q7,Q7-$D7)&gt;=0,"Green",IF($D7=0,"Red",IF(IF($C7="Lower is better",$D7-Q7,Q7-$D7)/ABS($D7)&gt;=-$E7,"Amber","Red"))))</f>
        <v/>
      </c>
      <c r="R21" s="79" t="str">
        <f>IF(OR(R7="",$D7=""),"",IF(IF($C7="Lower is better",$D7-R7,R7-$D7)&gt;=0,"Green",IF($D7=0,"Red",IF(IF($C7="Lower is better",$D7-R7,R7-$D7)/ABS($D7)&gt;=-$E7,"Amber","Red"))))</f>
        <v>Amber</v>
      </c>
    </row>
    <row r="22">
      <c r="B22" s="78" t="str">
        <f>B8</f>
        <v>Net margin %</v>
      </c>
      <c r="C22" s="31" t="n"/>
      <c r="D22" s="31" t="n"/>
      <c r="E22" s="31" t="n"/>
      <c r="F22" s="79" t="str">
        <f>IF(OR(F8="",$D8=""),"",IF(IF($C8="Lower is better",$D8-F8,F8-$D8)&gt;=0,"Green",IF($D8=0,"Red",IF(IF($C8="Lower is better",$D8-F8,F8-$D8)/ABS($D8)&gt;=-$E8,"Amber","Red"))))</f>
        <v>Green</v>
      </c>
      <c r="G22" s="79" t="str">
        <f>IF(OR(G8="",$D8=""),"",IF(IF($C8="Lower is better",$D8-G8,G8-$D8)&gt;=0,"Green",IF($D8=0,"Red",IF(IF($C8="Lower is better",$D8-G8,G8-$D8)/ABS($D8)&gt;=-$E8,"Amber","Red"))))</f>
        <v>Green</v>
      </c>
      <c r="H22" s="79" t="str">
        <f>IF(OR(H8="",$D8=""),"",IF(IF($C8="Lower is better",$D8-H8,H8-$D8)&gt;=0,"Green",IF($D8=0,"Red",IF(IF($C8="Lower is better",$D8-H8,H8-$D8)/ABS($D8)&gt;=-$E8,"Amber","Red"))))</f>
        <v>Green</v>
      </c>
      <c r="I22" s="79" t="str">
        <f>IF(OR(I8="",$D8=""),"",IF(IF($C8="Lower is better",$D8-I8,I8-$D8)&gt;=0,"Green",IF($D8=0,"Red",IF(IF($C8="Lower is better",$D8-I8,I8-$D8)/ABS($D8)&gt;=-$E8,"Amber","Red"))))</f>
        <v>Green</v>
      </c>
      <c r="J22" s="79" t="str">
        <f>IF(OR(J8="",$D8=""),"",IF(IF($C8="Lower is better",$D8-J8,J8-$D8)&gt;=0,"Green",IF($D8=0,"Red",IF(IF($C8="Lower is better",$D8-J8,J8-$D8)/ABS($D8)&gt;=-$E8,"Amber","Red"))))</f>
        <v>Green</v>
      </c>
      <c r="K22" s="79" t="str">
        <f>IF(OR(K8="",$D8=""),"",IF(IF($C8="Lower is better",$D8-K8,K8-$D8)&gt;=0,"Green",IF($D8=0,"Red",IF(IF($C8="Lower is better",$D8-K8,K8-$D8)/ABS($D8)&gt;=-$E8,"Amber","Red"))))</f>
        <v>Green</v>
      </c>
      <c r="L22" s="79" t="str">
        <f>IF(OR(L8="",$D8=""),"",IF(IF($C8="Lower is better",$D8-L8,L8-$D8)&gt;=0,"Green",IF($D8=0,"Red",IF(IF($C8="Lower is better",$D8-L8,L8-$D8)/ABS($D8)&gt;=-$E8,"Amber","Red"))))</f>
        <v>Red</v>
      </c>
      <c r="M22" s="79" t="str">
        <f>IF(OR(M8="",$D8=""),"",IF(IF($C8="Lower is better",$D8-M8,M8-$D8)&gt;=0,"Green",IF($D8=0,"Red",IF(IF($C8="Lower is better",$D8-M8,M8-$D8)/ABS($D8)&gt;=-$E8,"Amber","Red"))))</f>
        <v>Red</v>
      </c>
      <c r="N22" s="79" t="str">
        <f>IF(OR(N8="",$D8=""),"",IF(IF($C8="Lower is better",$D8-N8,N8-$D8)&gt;=0,"Green",IF($D8=0,"Red",IF(IF($C8="Lower is better",$D8-N8,N8-$D8)/ABS($D8)&gt;=-$E8,"Amber","Red"))))</f>
        <v>Green</v>
      </c>
      <c r="O22" s="79" t="str">
        <f>IF(OR(O8="",$D8=""),"",IF(IF($C8="Lower is better",$D8-O8,O8-$D8)&gt;=0,"Green",IF($D8=0,"Red",IF(IF($C8="Lower is better",$D8-O8,O8-$D8)/ABS($D8)&gt;=-$E8,"Amber","Red"))))</f>
        <v>Green</v>
      </c>
      <c r="P22" s="79">
        <f>IF(OR(P8="",$D8=""),"",IF(IF($C8="Lower is better",$D8-P8,P8-$D8)&gt;=0,"Green",IF($D8=0,"Red",IF(IF($C8="Lower is better",$D8-P8,P8-$D8)/ABS($D8)&gt;=-$E8,"Amber","Red"))))</f>
        <v/>
      </c>
      <c r="Q22" s="79">
        <f>IF(OR(Q8="",$D8=""),"",IF(IF($C8="Lower is better",$D8-Q8,Q8-$D8)&gt;=0,"Green",IF($D8=0,"Red",IF(IF($C8="Lower is better",$D8-Q8,Q8-$D8)/ABS($D8)&gt;=-$E8,"Amber","Red"))))</f>
        <v/>
      </c>
      <c r="R22" s="79" t="str">
        <f>IF(OR(R8="",$D8=""),"",IF(IF($C8="Lower is better",$D8-R8,R8-$D8)&gt;=0,"Green",IF($D8=0,"Red",IF(IF($C8="Lower is better",$D8-R8,R8-$D8)/ABS($D8)&gt;=-$E8,"Amber","Red"))))</f>
        <v>Green</v>
      </c>
    </row>
    <row r="23">
      <c r="B23" s="78" t="str">
        <f>B9</f>
        <v>Current ratio (x)</v>
      </c>
      <c r="C23" s="31" t="n"/>
      <c r="D23" s="31" t="n"/>
      <c r="E23" s="31" t="n"/>
      <c r="F23" s="79" t="str">
        <f>IF(OR(F9="",$D9=""),"",IF(IF($C9="Lower is better",$D9-F9,F9-$D9)&gt;=0,"Green",IF($D9=0,"Red",IF(IF($C9="Lower is better",$D9-F9,F9-$D9)/ABS($D9)&gt;=-$E9,"Amber","Red"))))</f>
        <v>Amber</v>
      </c>
      <c r="G23" s="79" t="str">
        <f>IF(OR(G9="",$D9=""),"",IF(IF($C9="Lower is better",$D9-G9,G9-$D9)&gt;=0,"Green",IF($D9=0,"Red",IF(IF($C9="Lower is better",$D9-G9,G9-$D9)/ABS($D9)&gt;=-$E9,"Amber","Red"))))</f>
        <v>Amber</v>
      </c>
      <c r="H23" s="79" t="str">
        <f>IF(OR(H9="",$D9=""),"",IF(IF($C9="Lower is better",$D9-H9,H9-$D9)&gt;=0,"Green",IF($D9=0,"Red",IF(IF($C9="Lower is better",$D9-H9,H9-$D9)/ABS($D9)&gt;=-$E9,"Amber","Red"))))</f>
        <v>Amber</v>
      </c>
      <c r="I23" s="79" t="str">
        <f>IF(OR(I9="",$D9=""),"",IF(IF($C9="Lower is better",$D9-I9,I9-$D9)&gt;=0,"Green",IF($D9=0,"Red",IF(IF($C9="Lower is better",$D9-I9,I9-$D9)/ABS($D9)&gt;=-$E9,"Amber","Red"))))</f>
        <v>Green</v>
      </c>
      <c r="J23" s="79" t="str">
        <f>IF(OR(J9="",$D9=""),"",IF(IF($C9="Lower is better",$D9-J9,J9-$D9)&gt;=0,"Green",IF($D9=0,"Red",IF(IF($C9="Lower is better",$D9-J9,J9-$D9)/ABS($D9)&gt;=-$E9,"Amber","Red"))))</f>
        <v>Green</v>
      </c>
      <c r="K23" s="79" t="str">
        <f>IF(OR(K9="",$D9=""),"",IF(IF($C9="Lower is better",$D9-K9,K9-$D9)&gt;=0,"Green",IF($D9=0,"Red",IF(IF($C9="Lower is better",$D9-K9,K9-$D9)/ABS($D9)&gt;=-$E9,"Amber","Red"))))</f>
        <v>Green</v>
      </c>
      <c r="L23" s="79" t="str">
        <f>IF(OR(L9="",$D9=""),"",IF(IF($C9="Lower is better",$D9-L9,L9-$D9)&gt;=0,"Green",IF($D9=0,"Red",IF(IF($C9="Lower is better",$D9-L9,L9-$D9)/ABS($D9)&gt;=-$E9,"Amber","Red"))))</f>
        <v>Green</v>
      </c>
      <c r="M23" s="79" t="str">
        <f>IF(OR(M9="",$D9=""),"",IF(IF($C9="Lower is better",$D9-M9,M9-$D9)&gt;=0,"Green",IF($D9=0,"Red",IF(IF($C9="Lower is better",$D9-M9,M9-$D9)/ABS($D9)&gt;=-$E9,"Amber","Red"))))</f>
        <v>Green</v>
      </c>
      <c r="N23" s="79" t="str">
        <f>IF(OR(N9="",$D9=""),"",IF(IF($C9="Lower is better",$D9-N9,N9-$D9)&gt;=0,"Green",IF($D9=0,"Red",IF(IF($C9="Lower is better",$D9-N9,N9-$D9)/ABS($D9)&gt;=-$E9,"Amber","Red"))))</f>
        <v>Green</v>
      </c>
      <c r="O23" s="79" t="str">
        <f>IF(OR(O9="",$D9=""),"",IF(IF($C9="Lower is better",$D9-O9,O9-$D9)&gt;=0,"Green",IF($D9=0,"Red",IF(IF($C9="Lower is better",$D9-O9,O9-$D9)/ABS($D9)&gt;=-$E9,"Amber","Red"))))</f>
        <v>Green</v>
      </c>
      <c r="P23" s="79">
        <f>IF(OR(P9="",$D9=""),"",IF(IF($C9="Lower is better",$D9-P9,P9-$D9)&gt;=0,"Green",IF($D9=0,"Red",IF(IF($C9="Lower is better",$D9-P9,P9-$D9)/ABS($D9)&gt;=-$E9,"Amber","Red"))))</f>
        <v/>
      </c>
      <c r="Q23" s="79">
        <f>IF(OR(Q9="",$D9=""),"",IF(IF($C9="Lower is better",$D9-Q9,Q9-$D9)&gt;=0,"Green",IF($D9=0,"Red",IF(IF($C9="Lower is better",$D9-Q9,Q9-$D9)/ABS($D9)&gt;=-$E9,"Amber","Red"))))</f>
        <v/>
      </c>
      <c r="R23" s="79" t="str">
        <f>IF(OR(R9="",$D9=""),"",IF(IF($C9="Lower is better",$D9-R9,R9-$D9)&gt;=0,"Green",IF($D9=0,"Red",IF(IF($C9="Lower is better",$D9-R9,R9-$D9)/ABS($D9)&gt;=-$E9,"Amber","Red"))))</f>
        <v>Green</v>
      </c>
    </row>
    <row r="24">
      <c r="B24" s="78" t="str">
        <f>B10</f>
        <v>Quick ratio (x)</v>
      </c>
      <c r="C24" s="31" t="n"/>
      <c r="D24" s="31" t="n"/>
      <c r="E24" s="31" t="n"/>
      <c r="F24" s="79" t="str">
        <f>IF(OR(F10="",$D10=""),"",IF(IF($C10="Lower is better",$D10-F10,F10-$D10)&gt;=0,"Green",IF($D10=0,"Red",IF(IF($C10="Lower is better",$D10-F10,F10-$D10)/ABS($D10)&gt;=-$E10,"Amber","Red"))))</f>
        <v>Green</v>
      </c>
      <c r="G24" s="79" t="str">
        <f>IF(OR(G10="",$D10=""),"",IF(IF($C10="Lower is better",$D10-G10,G10-$D10)&gt;=0,"Green",IF($D10=0,"Red",IF(IF($C10="Lower is better",$D10-G10,G10-$D10)/ABS($D10)&gt;=-$E10,"Amber","Red"))))</f>
        <v>Green</v>
      </c>
      <c r="H24" s="79" t="str">
        <f>IF(OR(H10="",$D10=""),"",IF(IF($C10="Lower is better",$D10-H10,H10-$D10)&gt;=0,"Green",IF($D10=0,"Red",IF(IF($C10="Lower is better",$D10-H10,H10-$D10)/ABS($D10)&gt;=-$E10,"Amber","Red"))))</f>
        <v>Green</v>
      </c>
      <c r="I24" s="79" t="str">
        <f>IF(OR(I10="",$D10=""),"",IF(IF($C10="Lower is better",$D10-I10,I10-$D10)&gt;=0,"Green",IF($D10=0,"Red",IF(IF($C10="Lower is better",$D10-I10,I10-$D10)/ABS($D10)&gt;=-$E10,"Amber","Red"))))</f>
        <v>Green</v>
      </c>
      <c r="J24" s="79" t="str">
        <f>IF(OR(J10="",$D10=""),"",IF(IF($C10="Lower is better",$D10-J10,J10-$D10)&gt;=0,"Green",IF($D10=0,"Red",IF(IF($C10="Lower is better",$D10-J10,J10-$D10)/ABS($D10)&gt;=-$E10,"Amber","Red"))))</f>
        <v>Green</v>
      </c>
      <c r="K24" s="79" t="str">
        <f>IF(OR(K10="",$D10=""),"",IF(IF($C10="Lower is better",$D10-K10,K10-$D10)&gt;=0,"Green",IF($D10=0,"Red",IF(IF($C10="Lower is better",$D10-K10,K10-$D10)/ABS($D10)&gt;=-$E10,"Amber","Red"))))</f>
        <v>Green</v>
      </c>
      <c r="L24" s="79" t="str">
        <f>IF(OR(L10="",$D10=""),"",IF(IF($C10="Lower is better",$D10-L10,L10-$D10)&gt;=0,"Green",IF($D10=0,"Red",IF(IF($C10="Lower is better",$D10-L10,L10-$D10)/ABS($D10)&gt;=-$E10,"Amber","Red"))))</f>
        <v>Green</v>
      </c>
      <c r="M24" s="79" t="str">
        <f>IF(OR(M10="",$D10=""),"",IF(IF($C10="Lower is better",$D10-M10,M10-$D10)&gt;=0,"Green",IF($D10=0,"Red",IF(IF($C10="Lower is better",$D10-M10,M10-$D10)/ABS($D10)&gt;=-$E10,"Amber","Red"))))</f>
        <v>Green</v>
      </c>
      <c r="N24" s="79" t="str">
        <f>IF(OR(N10="",$D10=""),"",IF(IF($C10="Lower is better",$D10-N10,N10-$D10)&gt;=0,"Green",IF($D10=0,"Red",IF(IF($C10="Lower is better",$D10-N10,N10-$D10)/ABS($D10)&gt;=-$E10,"Amber","Red"))))</f>
        <v>Green</v>
      </c>
      <c r="O24" s="79" t="str">
        <f>IF(OR(O10="",$D10=""),"",IF(IF($C10="Lower is better",$D10-O10,O10-$D10)&gt;=0,"Green",IF($D10=0,"Red",IF(IF($C10="Lower is better",$D10-O10,O10-$D10)/ABS($D10)&gt;=-$E10,"Amber","Red"))))</f>
        <v>Green</v>
      </c>
      <c r="P24" s="79">
        <f>IF(OR(P10="",$D10=""),"",IF(IF($C10="Lower is better",$D10-P10,P10-$D10)&gt;=0,"Green",IF($D10=0,"Red",IF(IF($C10="Lower is better",$D10-P10,P10-$D10)/ABS($D10)&gt;=-$E10,"Amber","Red"))))</f>
        <v/>
      </c>
      <c r="Q24" s="79">
        <f>IF(OR(Q10="",$D10=""),"",IF(IF($C10="Lower is better",$D10-Q10,Q10-$D10)&gt;=0,"Green",IF($D10=0,"Red",IF(IF($C10="Lower is better",$D10-Q10,Q10-$D10)/ABS($D10)&gt;=-$E10,"Amber","Red"))))</f>
        <v/>
      </c>
      <c r="R24" s="79" t="str">
        <f>IF(OR(R10="",$D10=""),"",IF(IF($C10="Lower is better",$D10-R10,R10-$D10)&gt;=0,"Green",IF($D10=0,"Red",IF(IF($C10="Lower is better",$D10-R10,R10-$D10)/ABS($D10)&gt;=-$E10,"Amber","Red"))))</f>
        <v>Green</v>
      </c>
    </row>
    <row r="25">
      <c r="B25" s="78" t="str">
        <f>B11</f>
        <v>Days sales outstanding (DSO)</v>
      </c>
      <c r="C25" s="31" t="n"/>
      <c r="D25" s="31" t="n"/>
      <c r="E25" s="31" t="n"/>
      <c r="F25" s="79" t="str">
        <f>IF(OR(F11="",$D11=""),"",IF(IF($C11="Lower is better",$D11-F11,F11-$D11)&gt;=0,"Green",IF($D11=0,"Red",IF(IF($C11="Lower is better",$D11-F11,F11-$D11)/ABS($D11)&gt;=-$E11,"Amber","Red"))))</f>
        <v>Green</v>
      </c>
      <c r="G25" s="79" t="str">
        <f>IF(OR(G11="",$D11=""),"",IF(IF($C11="Lower is better",$D11-G11,G11-$D11)&gt;=0,"Green",IF($D11=0,"Red",IF(IF($C11="Lower is better",$D11-G11,G11-$D11)/ABS($D11)&gt;=-$E11,"Amber","Red"))))</f>
        <v>Green</v>
      </c>
      <c r="H25" s="79" t="str">
        <f>IF(OR(H11="",$D11=""),"",IF(IF($C11="Lower is better",$D11-H11,H11-$D11)&gt;=0,"Green",IF($D11=0,"Red",IF(IF($C11="Lower is better",$D11-H11,H11-$D11)/ABS($D11)&gt;=-$E11,"Amber","Red"))))</f>
        <v>Green</v>
      </c>
      <c r="I25" s="79" t="str">
        <f>IF(OR(I11="",$D11=""),"",IF(IF($C11="Lower is better",$D11-I11,I11-$D11)&gt;=0,"Green",IF($D11=0,"Red",IF(IF($C11="Lower is better",$D11-I11,I11-$D11)/ABS($D11)&gt;=-$E11,"Amber","Red"))))</f>
        <v>Green</v>
      </c>
      <c r="J25" s="79" t="str">
        <f>IF(OR(J11="",$D11=""),"",IF(IF($C11="Lower is better",$D11-J11,J11-$D11)&gt;=0,"Green",IF($D11=0,"Red",IF(IF($C11="Lower is better",$D11-J11,J11-$D11)/ABS($D11)&gt;=-$E11,"Amber","Red"))))</f>
        <v>Amber</v>
      </c>
      <c r="K25" s="79" t="str">
        <f>IF(OR(K11="",$D11=""),"",IF(IF($C11="Lower is better",$D11-K11,K11-$D11)&gt;=0,"Green",IF($D11=0,"Red",IF(IF($C11="Lower is better",$D11-K11,K11-$D11)/ABS($D11)&gt;=-$E11,"Amber","Red"))))</f>
        <v>Amber</v>
      </c>
      <c r="L25" s="79" t="str">
        <f>IF(OR(L11="",$D11=""),"",IF(IF($C11="Lower is better",$D11-L11,L11-$D11)&gt;=0,"Green",IF($D11=0,"Red",IF(IF($C11="Lower is better",$D11-L11,L11-$D11)/ABS($D11)&gt;=-$E11,"Amber","Red"))))</f>
        <v>Amber</v>
      </c>
      <c r="M25" s="79" t="str">
        <f>IF(OR(M11="",$D11=""),"",IF(IF($C11="Lower is better",$D11-M11,M11-$D11)&gt;=0,"Green",IF($D11=0,"Red",IF(IF($C11="Lower is better",$D11-M11,M11-$D11)/ABS($D11)&gt;=-$E11,"Amber","Red"))))</f>
        <v>Red</v>
      </c>
      <c r="N25" s="79" t="str">
        <f>IF(OR(N11="",$D11=""),"",IF(IF($C11="Lower is better",$D11-N11,N11-$D11)&gt;=0,"Green",IF($D11=0,"Red",IF(IF($C11="Lower is better",$D11-N11,N11-$D11)/ABS($D11)&gt;=-$E11,"Amber","Red"))))</f>
        <v>Red</v>
      </c>
      <c r="O25" s="79" t="str">
        <f>IF(OR(O11="",$D11=""),"",IF(IF($C11="Lower is better",$D11-O11,O11-$D11)&gt;=0,"Green",IF($D11=0,"Red",IF(IF($C11="Lower is better",$D11-O11,O11-$D11)/ABS($D11)&gt;=-$E11,"Amber","Red"))))</f>
        <v>Red</v>
      </c>
      <c r="P25" s="79">
        <f>IF(OR(P11="",$D11=""),"",IF(IF($C11="Lower is better",$D11-P11,P11-$D11)&gt;=0,"Green",IF($D11=0,"Red",IF(IF($C11="Lower is better",$D11-P11,P11-$D11)/ABS($D11)&gt;=-$E11,"Amber","Red"))))</f>
        <v/>
      </c>
      <c r="Q25" s="79">
        <f>IF(OR(Q11="",$D11=""),"",IF(IF($C11="Lower is better",$D11-Q11,Q11-$D11)&gt;=0,"Green",IF($D11=0,"Red",IF(IF($C11="Lower is better",$D11-Q11,Q11-$D11)/ABS($D11)&gt;=-$E11,"Amber","Red"))))</f>
        <v/>
      </c>
      <c r="R25" s="79" t="str">
        <f>IF(OR(R11="",$D11=""),"",IF(IF($C11="Lower is better",$D11-R11,R11-$D11)&gt;=0,"Green",IF($D11=0,"Red",IF(IF($C11="Lower is better",$D11-R11,R11-$D11)/ABS($D11)&gt;=-$E11,"Amber","Red"))))</f>
        <v>Amber</v>
      </c>
    </row>
    <row r="26">
      <c r="B26" s="78" t="str">
        <f>B12</f>
        <v>Days payables outstanding (DPO)</v>
      </c>
      <c r="C26" s="31" t="n"/>
      <c r="D26" s="31" t="n"/>
      <c r="E26" s="31" t="n"/>
      <c r="F26" s="79" t="str">
        <f>IF(OR(F12="",$D12=""),"",IF(IF($C12="Lower is better",$D12-F12,F12-$D12)&gt;=0,"Green",IF($D12=0,"Red",IF(IF($C12="Lower is better",$D12-F12,F12-$D12)/ABS($D12)&gt;=-$E12,"Amber","Red"))))</f>
        <v>Green</v>
      </c>
      <c r="G26" s="79" t="str">
        <f>IF(OR(G12="",$D12=""),"",IF(IF($C12="Lower is better",$D12-G12,G12-$D12)&gt;=0,"Green",IF($D12=0,"Red",IF(IF($C12="Lower is better",$D12-G12,G12-$D12)/ABS($D12)&gt;=-$E12,"Amber","Red"))))</f>
        <v>Green</v>
      </c>
      <c r="H26" s="79" t="str">
        <f>IF(OR(H12="",$D12=""),"",IF(IF($C12="Lower is better",$D12-H12,H12-$D12)&gt;=0,"Green",IF($D12=0,"Red",IF(IF($C12="Lower is better",$D12-H12,H12-$D12)/ABS($D12)&gt;=-$E12,"Amber","Red"))))</f>
        <v>Amber</v>
      </c>
      <c r="I26" s="79" t="str">
        <f>IF(OR(I12="",$D12=""),"",IF(IF($C12="Lower is better",$D12-I12,I12-$D12)&gt;=0,"Green",IF($D12=0,"Red",IF(IF($C12="Lower is better",$D12-I12,I12-$D12)/ABS($D12)&gt;=-$E12,"Amber","Red"))))</f>
        <v>Amber</v>
      </c>
      <c r="J26" s="79" t="str">
        <f>IF(OR(J12="",$D12=""),"",IF(IF($C12="Lower is better",$D12-J12,J12-$D12)&gt;=0,"Green",IF($D12=0,"Red",IF(IF($C12="Lower is better",$D12-J12,J12-$D12)/ABS($D12)&gt;=-$E12,"Amber","Red"))))</f>
        <v>Amber</v>
      </c>
      <c r="K26" s="79" t="str">
        <f>IF(OR(K12="",$D12=""),"",IF(IF($C12="Lower is better",$D12-K12,K12-$D12)&gt;=0,"Green",IF($D12=0,"Red",IF(IF($C12="Lower is better",$D12-K12,K12-$D12)/ABS($D12)&gt;=-$E12,"Amber","Red"))))</f>
        <v>Amber</v>
      </c>
      <c r="L26" s="79" t="str">
        <f>IF(OR(L12="",$D12=""),"",IF(IF($C12="Lower is better",$D12-L12,L12-$D12)&gt;=0,"Green",IF($D12=0,"Red",IF(IF($C12="Lower is better",$D12-L12,L12-$D12)/ABS($D12)&gt;=-$E12,"Amber","Red"))))</f>
        <v>Amber</v>
      </c>
      <c r="M26" s="79" t="str">
        <f>IF(OR(M12="",$D12=""),"",IF(IF($C12="Lower is better",$D12-M12,M12-$D12)&gt;=0,"Green",IF($D12=0,"Red",IF(IF($C12="Lower is better",$D12-M12,M12-$D12)/ABS($D12)&gt;=-$E12,"Amber","Red"))))</f>
        <v>Red</v>
      </c>
      <c r="N26" s="79" t="str">
        <f>IF(OR(N12="",$D12=""),"",IF(IF($C12="Lower is better",$D12-N12,N12-$D12)&gt;=0,"Green",IF($D12=0,"Red",IF(IF($C12="Lower is better",$D12-N12,N12-$D12)/ABS($D12)&gt;=-$E12,"Amber","Red"))))</f>
        <v>Red</v>
      </c>
      <c r="O26" s="79" t="str">
        <f>IF(OR(O12="",$D12=""),"",IF(IF($C12="Lower is better",$D12-O12,O12-$D12)&gt;=0,"Green",IF($D12=0,"Red",IF(IF($C12="Lower is better",$D12-O12,O12-$D12)/ABS($D12)&gt;=-$E12,"Amber","Red"))))</f>
        <v>Red</v>
      </c>
      <c r="P26" s="79">
        <f>IF(OR(P12="",$D12=""),"",IF(IF($C12="Lower is better",$D12-P12,P12-$D12)&gt;=0,"Green",IF($D12=0,"Red",IF(IF($C12="Lower is better",$D12-P12,P12-$D12)/ABS($D12)&gt;=-$E12,"Amber","Red"))))</f>
        <v/>
      </c>
      <c r="Q26" s="79">
        <f>IF(OR(Q12="",$D12=""),"",IF(IF($C12="Lower is better",$D12-Q12,Q12-$D12)&gt;=0,"Green",IF($D12=0,"Red",IF(IF($C12="Lower is better",$D12-Q12,Q12-$D12)/ABS($D12)&gt;=-$E12,"Amber","Red"))))</f>
        <v/>
      </c>
      <c r="R26" s="79" t="str">
        <f>IF(OR(R12="",$D12=""),"",IF(IF($C12="Lower is better",$D12-R12,R12-$D12)&gt;=0,"Green",IF($D12=0,"Red",IF(IF($C12="Lower is better",$D12-R12,R12-$D12)/ABS($D12)&gt;=-$E12,"Amber","Red"))))</f>
        <v>Amber</v>
      </c>
    </row>
    <row r="27">
      <c r="B27" s="78" t="str">
        <f>B13</f>
        <v>Days inventory outstanding (DIO)</v>
      </c>
      <c r="C27" s="31" t="n"/>
      <c r="D27" s="31" t="n"/>
      <c r="E27" s="31" t="n"/>
      <c r="F27" s="79" t="str">
        <f>IF(OR(F13="",$D13=""),"",IF(IF($C13="Lower is better",$D13-F13,F13-$D13)&gt;=0,"Green",IF($D13=0,"Red",IF(IF($C13="Lower is better",$D13-F13,F13-$D13)/ABS($D13)&gt;=-$E13,"Amber","Red"))))</f>
        <v>Green</v>
      </c>
      <c r="G27" s="79" t="str">
        <f>IF(OR(G13="",$D13=""),"",IF(IF($C13="Lower is better",$D13-G13,G13-$D13)&gt;=0,"Green",IF($D13=0,"Red",IF(IF($C13="Lower is better",$D13-G13,G13-$D13)/ABS($D13)&gt;=-$E13,"Amber","Red"))))</f>
        <v>Green</v>
      </c>
      <c r="H27" s="79" t="str">
        <f>IF(OR(H13="",$D13=""),"",IF(IF($C13="Lower is better",$D13-H13,H13-$D13)&gt;=0,"Green",IF($D13=0,"Red",IF(IF($C13="Lower is better",$D13-H13,H13-$D13)/ABS($D13)&gt;=-$E13,"Amber","Red"))))</f>
        <v>Green</v>
      </c>
      <c r="I27" s="79" t="str">
        <f>IF(OR(I13="",$D13=""),"",IF(IF($C13="Lower is better",$D13-I13,I13-$D13)&gt;=0,"Green",IF($D13=0,"Red",IF(IF($C13="Lower is better",$D13-I13,I13-$D13)/ABS($D13)&gt;=-$E13,"Amber","Red"))))</f>
        <v>Green</v>
      </c>
      <c r="J27" s="79" t="str">
        <f>IF(OR(J13="",$D13=""),"",IF(IF($C13="Lower is better",$D13-J13,J13-$D13)&gt;=0,"Green",IF($D13=0,"Red",IF(IF($C13="Lower is better",$D13-J13,J13-$D13)/ABS($D13)&gt;=-$E13,"Amber","Red"))))</f>
        <v>Green</v>
      </c>
      <c r="K27" s="79" t="str">
        <f>IF(OR(K13="",$D13=""),"",IF(IF($C13="Lower is better",$D13-K13,K13-$D13)&gt;=0,"Green",IF($D13=0,"Red",IF(IF($C13="Lower is better",$D13-K13,K13-$D13)/ABS($D13)&gt;=-$E13,"Amber","Red"))))</f>
        <v>Green</v>
      </c>
      <c r="L27" s="79" t="str">
        <f>IF(OR(L13="",$D13=""),"",IF(IF($C13="Lower is better",$D13-L13,L13-$D13)&gt;=0,"Green",IF($D13=0,"Red",IF(IF($C13="Lower is better",$D13-L13,L13-$D13)/ABS($D13)&gt;=-$E13,"Amber","Red"))))</f>
        <v>Amber</v>
      </c>
      <c r="M27" s="79" t="str">
        <f>IF(OR(M13="",$D13=""),"",IF(IF($C13="Lower is better",$D13-M13,M13-$D13)&gt;=0,"Green",IF($D13=0,"Red",IF(IF($C13="Lower is better",$D13-M13,M13-$D13)/ABS($D13)&gt;=-$E13,"Amber","Red"))))</f>
        <v>Amber</v>
      </c>
      <c r="N27" s="79" t="str">
        <f>IF(OR(N13="",$D13=""),"",IF(IF($C13="Lower is better",$D13-N13,N13-$D13)&gt;=0,"Green",IF($D13=0,"Red",IF(IF($C13="Lower is better",$D13-N13,N13-$D13)/ABS($D13)&gt;=-$E13,"Amber","Red"))))</f>
        <v>Amber</v>
      </c>
      <c r="O27" s="79" t="str">
        <f>IF(OR(O13="",$D13=""),"",IF(IF($C13="Lower is better",$D13-O13,O13-$D13)&gt;=0,"Green",IF($D13=0,"Red",IF(IF($C13="Lower is better",$D13-O13,O13-$D13)/ABS($D13)&gt;=-$E13,"Amber","Red"))))</f>
        <v>Amber</v>
      </c>
      <c r="P27" s="79">
        <f>IF(OR(P13="",$D13=""),"",IF(IF($C13="Lower is better",$D13-P13,P13-$D13)&gt;=0,"Green",IF($D13=0,"Red",IF(IF($C13="Lower is better",$D13-P13,P13-$D13)/ABS($D13)&gt;=-$E13,"Amber","Red"))))</f>
        <v/>
      </c>
      <c r="Q27" s="79">
        <f>IF(OR(Q13="",$D13=""),"",IF(IF($C13="Lower is better",$D13-Q13,Q13-$D13)&gt;=0,"Green",IF($D13=0,"Red",IF(IF($C13="Lower is better",$D13-Q13,Q13-$D13)/ABS($D13)&gt;=-$E13,"Amber","Red"))))</f>
        <v/>
      </c>
      <c r="R27" s="79" t="str">
        <f>IF(OR(R13="",$D13=""),"",IF(IF($C13="Lower is better",$D13-R13,R13-$D13)&gt;=0,"Green",IF($D13=0,"Red",IF(IF($C13="Lower is better",$D13-R13,R13-$D13)/ABS($D13)&gt;=-$E13,"Amber","Red"))))</f>
        <v>Green</v>
      </c>
    </row>
    <row r="28">
      <c r="B28" s="78" t="str">
        <f>B14</f>
        <v>Cash conversion cycle (days)</v>
      </c>
      <c r="C28" s="31" t="n"/>
      <c r="D28" s="31" t="n"/>
      <c r="E28" s="31" t="n"/>
      <c r="F28" s="79" t="str">
        <f>IF(OR(F14="",$D14=""),"",IF(IF($C14="Lower is better",$D14-F14,F14-$D14)&gt;=0,"Green",IF($D14=0,"Red",IF(IF($C14="Lower is better",$D14-F14,F14-$D14)/ABS($D14)&gt;=-$E14,"Amber","Red"))))</f>
        <v>Green</v>
      </c>
      <c r="G28" s="79" t="str">
        <f>IF(OR(G14="",$D14=""),"",IF(IF($C14="Lower is better",$D14-G14,G14-$D14)&gt;=0,"Green",IF($D14=0,"Red",IF(IF($C14="Lower is better",$D14-G14,G14-$D14)/ABS($D14)&gt;=-$E14,"Amber","Red"))))</f>
        <v>Green</v>
      </c>
      <c r="H28" s="79" t="str">
        <f>IF(OR(H14="",$D14=""),"",IF(IF($C14="Lower is better",$D14-H14,H14-$D14)&gt;=0,"Green",IF($D14=0,"Red",IF(IF($C14="Lower is better",$D14-H14,H14-$D14)/ABS($D14)&gt;=-$E14,"Amber","Red"))))</f>
        <v>Green</v>
      </c>
      <c r="I28" s="79" t="str">
        <f>IF(OR(I14="",$D14=""),"",IF(IF($C14="Lower is better",$D14-I14,I14-$D14)&gt;=0,"Green",IF($D14=0,"Red",IF(IF($C14="Lower is better",$D14-I14,I14-$D14)/ABS($D14)&gt;=-$E14,"Amber","Red"))))</f>
        <v>Green</v>
      </c>
      <c r="J28" s="79" t="str">
        <f>IF(OR(J14="",$D14=""),"",IF(IF($C14="Lower is better",$D14-J14,J14-$D14)&gt;=0,"Green",IF($D14=0,"Red",IF(IF($C14="Lower is better",$D14-J14,J14-$D14)/ABS($D14)&gt;=-$E14,"Amber","Red"))))</f>
        <v>Amber</v>
      </c>
      <c r="K28" s="79" t="str">
        <f>IF(OR(K14="",$D14=""),"",IF(IF($C14="Lower is better",$D14-K14,K14-$D14)&gt;=0,"Green",IF($D14=0,"Red",IF(IF($C14="Lower is better",$D14-K14,K14-$D14)/ABS($D14)&gt;=-$E14,"Amber","Red"))))</f>
        <v>Amber</v>
      </c>
      <c r="L28" s="79" t="str">
        <f>IF(OR(L14="",$D14=""),"",IF(IF($C14="Lower is better",$D14-L14,L14-$D14)&gt;=0,"Green",IF($D14=0,"Red",IF(IF($C14="Lower is better",$D14-L14,L14-$D14)/ABS($D14)&gt;=-$E14,"Amber","Red"))))</f>
        <v>Red</v>
      </c>
      <c r="M28" s="79" t="str">
        <f>IF(OR(M14="",$D14=""),"",IF(IF($C14="Lower is better",$D14-M14,M14-$D14)&gt;=0,"Green",IF($D14=0,"Red",IF(IF($C14="Lower is better",$D14-M14,M14-$D14)/ABS($D14)&gt;=-$E14,"Amber","Red"))))</f>
        <v>Red</v>
      </c>
      <c r="N28" s="79" t="str">
        <f>IF(OR(N14="",$D14=""),"",IF(IF($C14="Lower is better",$D14-N14,N14-$D14)&gt;=0,"Green",IF($D14=0,"Red",IF(IF($C14="Lower is better",$D14-N14,N14-$D14)/ABS($D14)&gt;=-$E14,"Amber","Red"))))</f>
        <v>Red</v>
      </c>
      <c r="O28" s="79" t="str">
        <f>IF(OR(O14="",$D14=""),"",IF(IF($C14="Lower is better",$D14-O14,O14-$D14)&gt;=0,"Green",IF($D14=0,"Red",IF(IF($C14="Lower is better",$D14-O14,O14-$D14)/ABS($D14)&gt;=-$E14,"Amber","Red"))))</f>
        <v>Red</v>
      </c>
      <c r="P28" s="79">
        <f>IF(OR(P14="",$D14=""),"",IF(IF($C14="Lower is better",$D14-P14,P14-$D14)&gt;=0,"Green",IF($D14=0,"Red",IF(IF($C14="Lower is better",$D14-P14,P14-$D14)/ABS($D14)&gt;=-$E14,"Amber","Red"))))</f>
        <v/>
      </c>
      <c r="Q28" s="79">
        <f>IF(OR(Q14="",$D14=""),"",IF(IF($C14="Lower is better",$D14-Q14,Q14-$D14)&gt;=0,"Green",IF($D14=0,"Red",IF(IF($C14="Lower is better",$D14-Q14,Q14-$D14)/ABS($D14)&gt;=-$E14,"Amber","Red"))))</f>
        <v/>
      </c>
      <c r="R28" s="79" t="str">
        <f>IF(OR(R14="",$D14=""),"",IF(IF($C14="Lower is better",$D14-R14,R14-$D14)&gt;=0,"Green",IF($D14=0,"Red",IF(IF($C14="Lower is better",$D14-R14,R14-$D14)/ABS($D14)&gt;=-$E14,"Amber","Red"))))</f>
        <v>Amber</v>
      </c>
    </row>
    <row r="29">
      <c r="B29" s="78" t="str">
        <f>B15</f>
        <v>Debt to equity (x)</v>
      </c>
      <c r="C29" s="31" t="n"/>
      <c r="D29" s="31" t="n"/>
      <c r="E29" s="31" t="n"/>
      <c r="F29" s="79" t="str">
        <f>IF(OR(F15="",$D15=""),"",IF(IF($C15="Lower is better",$D15-F15,F15-$D15)&gt;=0,"Green",IF($D15=0,"Red",IF(IF($C15="Lower is better",$D15-F15,F15-$D15)/ABS($D15)&gt;=-$E15,"Amber","Red"))))</f>
        <v>Red</v>
      </c>
      <c r="G29" s="79" t="str">
        <f>IF(OR(G15="",$D15=""),"",IF(IF($C15="Lower is better",$D15-G15,G15-$D15)&gt;=0,"Green",IF($D15=0,"Red",IF(IF($C15="Lower is better",$D15-G15,G15-$D15)/ABS($D15)&gt;=-$E15,"Amber","Red"))))</f>
        <v>Amber</v>
      </c>
      <c r="H29" s="79" t="str">
        <f>IF(OR(H15="",$D15=""),"",IF(IF($C15="Lower is better",$D15-H15,H15-$D15)&gt;=0,"Green",IF($D15=0,"Red",IF(IF($C15="Lower is better",$D15-H15,H15-$D15)/ABS($D15)&gt;=-$E15,"Amber","Red"))))</f>
        <v>Amber</v>
      </c>
      <c r="I29" s="79" t="str">
        <f>IF(OR(I15="",$D15=""),"",IF(IF($C15="Lower is better",$D15-I15,I15-$D15)&gt;=0,"Green",IF($D15=0,"Red",IF(IF($C15="Lower is better",$D15-I15,I15-$D15)/ABS($D15)&gt;=-$E15,"Amber","Red"))))</f>
        <v>Green</v>
      </c>
      <c r="J29" s="79" t="str">
        <f>IF(OR(J15="",$D15=""),"",IF(IF($C15="Lower is better",$D15-J15,J15-$D15)&gt;=0,"Green",IF($D15=0,"Red",IF(IF($C15="Lower is better",$D15-J15,J15-$D15)/ABS($D15)&gt;=-$E15,"Amber","Red"))))</f>
        <v>Green</v>
      </c>
      <c r="K29" s="79" t="str">
        <f>IF(OR(K15="",$D15=""),"",IF(IF($C15="Lower is better",$D15-K15,K15-$D15)&gt;=0,"Green",IF($D15=0,"Red",IF(IF($C15="Lower is better",$D15-K15,K15-$D15)/ABS($D15)&gt;=-$E15,"Amber","Red"))))</f>
        <v>Green</v>
      </c>
      <c r="L29" s="79" t="str">
        <f>IF(OR(L15="",$D15=""),"",IF(IF($C15="Lower is better",$D15-L15,L15-$D15)&gt;=0,"Green",IF($D15=0,"Red",IF(IF($C15="Lower is better",$D15-L15,L15-$D15)/ABS($D15)&gt;=-$E15,"Amber","Red"))))</f>
        <v>Green</v>
      </c>
      <c r="M29" s="79" t="str">
        <f>IF(OR(M15="",$D15=""),"",IF(IF($C15="Lower is better",$D15-M15,M15-$D15)&gt;=0,"Green",IF($D15=0,"Red",IF(IF($C15="Lower is better",$D15-M15,M15-$D15)/ABS($D15)&gt;=-$E15,"Amber","Red"))))</f>
        <v>Green</v>
      </c>
      <c r="N29" s="79" t="str">
        <f>IF(OR(N15="",$D15=""),"",IF(IF($C15="Lower is better",$D15-N15,N15-$D15)&gt;=0,"Green",IF($D15=0,"Red",IF(IF($C15="Lower is better",$D15-N15,N15-$D15)/ABS($D15)&gt;=-$E15,"Amber","Red"))))</f>
        <v>Green</v>
      </c>
      <c r="O29" s="79" t="str">
        <f>IF(OR(O15="",$D15=""),"",IF(IF($C15="Lower is better",$D15-O15,O15-$D15)&gt;=0,"Green",IF($D15=0,"Red",IF(IF($C15="Lower is better",$D15-O15,O15-$D15)/ABS($D15)&gt;=-$E15,"Amber","Red"))))</f>
        <v>Green</v>
      </c>
      <c r="P29" s="79">
        <f>IF(OR(P15="",$D15=""),"",IF(IF($C15="Lower is better",$D15-P15,P15-$D15)&gt;=0,"Green",IF($D15=0,"Red",IF(IF($C15="Lower is better",$D15-P15,P15-$D15)/ABS($D15)&gt;=-$E15,"Amber","Red"))))</f>
        <v/>
      </c>
      <c r="Q29" s="79">
        <f>IF(OR(Q15="",$D15=""),"",IF(IF($C15="Lower is better",$D15-Q15,Q15-$D15)&gt;=0,"Green",IF($D15=0,"Red",IF(IF($C15="Lower is better",$D15-Q15,Q15-$D15)/ABS($D15)&gt;=-$E15,"Amber","Red"))))</f>
        <v/>
      </c>
      <c r="R29" s="79" t="str">
        <f>IF(OR(R15="",$D15=""),"",IF(IF($C15="Lower is better",$D15-R15,R15-$D15)&gt;=0,"Green",IF($D15=0,"Red",IF(IF($C15="Lower is better",$D15-R15,R15-$D15)/ABS($D15)&gt;=-$E15,"Amber","Red"))))</f>
        <v>Green</v>
      </c>
    </row>
    <row r="30">
      <c r="B30" s="78" t="str">
        <f>B16</f>
        <v>Revenue per employee (month)</v>
      </c>
      <c r="C30" s="31" t="n"/>
      <c r="D30" s="31" t="n"/>
      <c r="E30" s="31" t="n"/>
      <c r="F30" s="79" t="str">
        <f>IF(OR(F16="",$D16=""),"",IF(IF($C16="Lower is better",$D16-F16,F16-$D16)&gt;=0,"Green",IF($D16=0,"Red",IF(IF($C16="Lower is better",$D16-F16,F16-$D16)/ABS($D16)&gt;=-$E16,"Amber","Red"))))</f>
        <v>Amber</v>
      </c>
      <c r="G30" s="79" t="str">
        <f>IF(OR(G16="",$D16=""),"",IF(IF($C16="Lower is better",$D16-G16,G16-$D16)&gt;=0,"Green",IF($D16=0,"Red",IF(IF($C16="Lower is better",$D16-G16,G16-$D16)/ABS($D16)&gt;=-$E16,"Amber","Red"))))</f>
        <v>Amber</v>
      </c>
      <c r="H30" s="79" t="str">
        <f>IF(OR(H16="",$D16=""),"",IF(IF($C16="Lower is better",$D16-H16,H16-$D16)&gt;=0,"Green",IF($D16=0,"Red",IF(IF($C16="Lower is better",$D16-H16,H16-$D16)/ABS($D16)&gt;=-$E16,"Amber","Red"))))</f>
        <v>Amber</v>
      </c>
      <c r="I30" s="79" t="str">
        <f>IF(OR(I16="",$D16=""),"",IF(IF($C16="Lower is better",$D16-I16,I16-$D16)&gt;=0,"Green",IF($D16=0,"Red",IF(IF($C16="Lower is better",$D16-I16,I16-$D16)/ABS($D16)&gt;=-$E16,"Amber","Red"))))</f>
        <v>Green</v>
      </c>
      <c r="J30" s="79" t="str">
        <f>IF(OR(J16="",$D16=""),"",IF(IF($C16="Lower is better",$D16-J16,J16-$D16)&gt;=0,"Green",IF($D16=0,"Red",IF(IF($C16="Lower is better",$D16-J16,J16-$D16)/ABS($D16)&gt;=-$E16,"Amber","Red"))))</f>
        <v>Green</v>
      </c>
      <c r="K30" s="79" t="str">
        <f>IF(OR(K16="",$D16=""),"",IF(IF($C16="Lower is better",$D16-K16,K16-$D16)&gt;=0,"Green",IF($D16=0,"Red",IF(IF($C16="Lower is better",$D16-K16,K16-$D16)/ABS($D16)&gt;=-$E16,"Amber","Red"))))</f>
        <v>Amber</v>
      </c>
      <c r="L30" s="79" t="str">
        <f>IF(OR(L16="",$D16=""),"",IF(IF($C16="Lower is better",$D16-L16,L16-$D16)&gt;=0,"Green",IF($D16=0,"Red",IF(IF($C16="Lower is better",$D16-L16,L16-$D16)/ABS($D16)&gt;=-$E16,"Amber","Red"))))</f>
        <v>Amber</v>
      </c>
      <c r="M30" s="79" t="str">
        <f>IF(OR(M16="",$D16=""),"",IF(IF($C16="Lower is better",$D16-M16,M16-$D16)&gt;=0,"Green",IF($D16=0,"Red",IF(IF($C16="Lower is better",$D16-M16,M16-$D16)/ABS($D16)&gt;=-$E16,"Amber","Red"))))</f>
        <v>Amber</v>
      </c>
      <c r="N30" s="79" t="str">
        <f>IF(OR(N16="",$D16=""),"",IF(IF($C16="Lower is better",$D16-N16,N16-$D16)&gt;=0,"Green",IF($D16=0,"Red",IF(IF($C16="Lower is better",$D16-N16,N16-$D16)/ABS($D16)&gt;=-$E16,"Amber","Red"))))</f>
        <v>Green</v>
      </c>
      <c r="O30" s="79" t="str">
        <f>IF(OR(O16="",$D16=""),"",IF(IF($C16="Lower is better",$D16-O16,O16-$D16)&gt;=0,"Green",IF($D16=0,"Red",IF(IF($C16="Lower is better",$D16-O16,O16-$D16)/ABS($D16)&gt;=-$E16,"Amber","Red"))))</f>
        <v>Green</v>
      </c>
      <c r="P30" s="79">
        <f>IF(OR(P16="",$D16=""),"",IF(IF($C16="Lower is better",$D16-P16,P16-$D16)&gt;=0,"Green",IF($D16=0,"Red",IF(IF($C16="Lower is better",$D16-P16,P16-$D16)/ABS($D16)&gt;=-$E16,"Amber","Red"))))</f>
        <v/>
      </c>
      <c r="Q30" s="79">
        <f>IF(OR(Q16="",$D16=""),"",IF(IF($C16="Lower is better",$D16-Q16,Q16-$D16)&gt;=0,"Green",IF($D16=0,"Red",IF(IF($C16="Lower is better",$D16-Q16,Q16-$D16)/ABS($D16)&gt;=-$E16,"Amber","Red"))))</f>
        <v/>
      </c>
      <c r="R30" s="79" t="str">
        <f>IF(OR(R16="",$D16=""),"",IF(IF($C16="Lower is better",$D16-R16,R16-$D16)&gt;=0,"Green",IF($D16=0,"Red",IF(IF($C16="Lower is better",$D16-R16,R16-$D16)/ABS($D16)&gt;=-$E16,"Amber","Red"))))</f>
        <v>Amber</v>
      </c>
    </row>
    <row r="31">
      <c r="B31" s="78" t="str">
        <f>B17</f>
        <v>Cash runway (months)</v>
      </c>
      <c r="C31" s="31" t="n"/>
      <c r="D31" s="31" t="n"/>
      <c r="E31" s="31" t="n"/>
      <c r="F31" s="79" t="str">
        <f>IF(OR(F17="",$D17=""),"",IF(IF($C17="Lower is better",$D17-F17,F17-$D17)&gt;=0,"Green",IF($D17=0,"Red",IF(IF($C17="Lower is better",$D17-F17,F17-$D17)/ABS($D17)&gt;=-$E17,"Amber","Red"))))</f>
        <v>Green</v>
      </c>
      <c r="G31" s="79" t="str">
        <f>IF(OR(G17="",$D17=""),"",IF(IF($C17="Lower is better",$D17-G17,G17-$D17)&gt;=0,"Green",IF($D17=0,"Red",IF(IF($C17="Lower is better",$D17-G17,G17-$D17)/ABS($D17)&gt;=-$E17,"Amber","Red"))))</f>
        <v>Green</v>
      </c>
      <c r="H31" s="79" t="str">
        <f>IF(OR(H17="",$D17=""),"",IF(IF($C17="Lower is better",$D17-H17,H17-$D17)&gt;=0,"Green",IF($D17=0,"Red",IF(IF($C17="Lower is better",$D17-H17,H17-$D17)/ABS($D17)&gt;=-$E17,"Amber","Red"))))</f>
        <v>Green</v>
      </c>
      <c r="I31" s="79" t="str">
        <f>IF(OR(I17="",$D17=""),"",IF(IF($C17="Lower is better",$D17-I17,I17-$D17)&gt;=0,"Green",IF($D17=0,"Red",IF(IF($C17="Lower is better",$D17-I17,I17-$D17)/ABS($D17)&gt;=-$E17,"Amber","Red"))))</f>
        <v>Green</v>
      </c>
      <c r="J31" s="79" t="str">
        <f>IF(OR(J17="",$D17=""),"",IF(IF($C17="Lower is better",$D17-J17,J17-$D17)&gt;=0,"Green",IF($D17=0,"Red",IF(IF($C17="Lower is better",$D17-J17,J17-$D17)/ABS($D17)&gt;=-$E17,"Amber","Red"))))</f>
        <v>Green</v>
      </c>
      <c r="K31" s="79" t="str">
        <f>IF(OR(K17="",$D17=""),"",IF(IF($C17="Lower is better",$D17-K17,K17-$D17)&gt;=0,"Green",IF($D17=0,"Red",IF(IF($C17="Lower is better",$D17-K17,K17-$D17)/ABS($D17)&gt;=-$E17,"Amber","Red"))))</f>
        <v>Green</v>
      </c>
      <c r="L31" s="79" t="str">
        <f>IF(OR(L17="",$D17=""),"",IF(IF($C17="Lower is better",$D17-L17,L17-$D17)&gt;=0,"Green",IF($D17=0,"Red",IF(IF($C17="Lower is better",$D17-L17,L17-$D17)/ABS($D17)&gt;=-$E17,"Amber","Red"))))</f>
        <v>Green</v>
      </c>
      <c r="M31" s="79" t="str">
        <f>IF(OR(M17="",$D17=""),"",IF(IF($C17="Lower is better",$D17-M17,M17-$D17)&gt;=0,"Green",IF($D17=0,"Red",IF(IF($C17="Lower is better",$D17-M17,M17-$D17)/ABS($D17)&gt;=-$E17,"Amber","Red"))))</f>
        <v>Green</v>
      </c>
      <c r="N31" s="79" t="str">
        <f>IF(OR(N17="",$D17=""),"",IF(IF($C17="Lower is better",$D17-N17,N17-$D17)&gt;=0,"Green",IF($D17=0,"Red",IF(IF($C17="Lower is better",$D17-N17,N17-$D17)/ABS($D17)&gt;=-$E17,"Amber","Red"))))</f>
        <v>Green</v>
      </c>
      <c r="O31" s="79" t="str">
        <f>IF(OR(O17="",$D17=""),"",IF(IF($C17="Lower is better",$D17-O17,O17-$D17)&gt;=0,"Green",IF($D17=0,"Red",IF(IF($C17="Lower is better",$D17-O17,O17-$D17)/ABS($D17)&gt;=-$E17,"Amber","Red"))))</f>
        <v>Green</v>
      </c>
      <c r="P31" s="79">
        <f>IF(OR(P17="",$D17=""),"",IF(IF($C17="Lower is better",$D17-P17,P17-$D17)&gt;=0,"Green",IF($D17=0,"Red",IF(IF($C17="Lower is better",$D17-P17,P17-$D17)/ABS($D17)&gt;=-$E17,"Amber","Red"))))</f>
        <v/>
      </c>
      <c r="Q31" s="79">
        <f>IF(OR(Q17="",$D17=""),"",IF(IF($C17="Lower is better",$D17-Q17,Q17-$D17)&gt;=0,"Green",IF($D17=0,"Red",IF(IF($C17="Lower is better",$D17-Q17,Q17-$D17)/ABS($D17)&gt;=-$E17,"Amber","Red"))))</f>
        <v/>
      </c>
      <c r="R31" s="31" t="n"/>
    </row>
    <row r="32">
      <c r="B32" s="80" t="inlineStr">
        <is>
          <t>Number of KPIs Green</t>
        </is>
      </c>
      <c r="C32" s="81" t="n"/>
      <c r="D32" s="81" t="n"/>
      <c r="E32" s="81" t="n"/>
      <c r="F32" s="82">
        <f>COUNTIF(F21:F31,"Green")</f>
        <v>8</v>
      </c>
      <c r="G32" s="82">
        <f>COUNTIF(G21:G31,"Green")</f>
        <v>8</v>
      </c>
      <c r="H32" s="82">
        <f>COUNTIF(H21:H31,"Green")</f>
        <v>7</v>
      </c>
      <c r="I32" s="82">
        <f>COUNTIF(I21:I31,"Green")</f>
        <v>10</v>
      </c>
      <c r="J32" s="82">
        <f>COUNTIF(J21:J31,"Green")</f>
        <v>8</v>
      </c>
      <c r="K32" s="82">
        <f>COUNTIF(K21:K31,"Green")</f>
        <v>7</v>
      </c>
      <c r="L32" s="82">
        <f>COUNTIF(L21:L31,"Green")</f>
        <v>4</v>
      </c>
      <c r="M32" s="82">
        <f>COUNTIF(M21:M31,"Green")</f>
        <v>4</v>
      </c>
      <c r="N32" s="82">
        <f>COUNTIF(N21:N31,"Green")</f>
        <v>6</v>
      </c>
      <c r="O32" s="82">
        <f>COUNTIF(O21:O31,"Green")</f>
        <v>6</v>
      </c>
      <c r="P32" s="82">
        <f>COUNTIF(P21:P31,"Green")</f>
        <v>0</v>
      </c>
      <c r="Q32" s="82">
        <f>COUNTIF(Q21:Q31,"Green")</f>
        <v>0</v>
      </c>
      <c r="R32" s="82">
        <f>COUNTIF(R21:R31,"Green")</f>
        <v>5</v>
      </c>
    </row>
    <row r="33">
      <c r="B33" s="80" t="inlineStr">
        <is>
          <t>Number of KPIs Amber</t>
        </is>
      </c>
      <c r="C33" s="81" t="n"/>
      <c r="D33" s="81" t="n"/>
      <c r="E33" s="81" t="n"/>
      <c r="F33" s="82">
        <f>COUNTIF(F21:F31,"Amber")</f>
        <v>2</v>
      </c>
      <c r="G33" s="82">
        <f>COUNTIF(G21:G31,"Amber")</f>
        <v>3</v>
      </c>
      <c r="H33" s="82">
        <f>COUNTIF(H21:H31,"Amber")</f>
        <v>4</v>
      </c>
      <c r="I33" s="82">
        <f>COUNTIF(I21:I31,"Amber")</f>
        <v>1</v>
      </c>
      <c r="J33" s="82">
        <f>COUNTIF(J21:J31,"Amber")</f>
        <v>3</v>
      </c>
      <c r="K33" s="82">
        <f>COUNTIF(K21:K31,"Amber")</f>
        <v>4</v>
      </c>
      <c r="L33" s="82">
        <f>COUNTIF(L21:L31,"Amber")</f>
        <v>5</v>
      </c>
      <c r="M33" s="82">
        <f>COUNTIF(M21:M31,"Amber")</f>
        <v>3</v>
      </c>
      <c r="N33" s="82">
        <f>COUNTIF(N21:N31,"Amber")</f>
        <v>2</v>
      </c>
      <c r="O33" s="82">
        <f>COUNTIF(O21:O31,"Amber")</f>
        <v>2</v>
      </c>
      <c r="P33" s="82">
        <f>COUNTIF(P21:P31,"Amber")</f>
        <v>0</v>
      </c>
      <c r="Q33" s="82">
        <f>COUNTIF(Q21:Q31,"Amber")</f>
        <v>0</v>
      </c>
      <c r="R33" s="82">
        <f>COUNTIF(R21:R31,"Amber")</f>
        <v>5</v>
      </c>
    </row>
    <row r="34">
      <c r="B34" s="80" t="inlineStr">
        <is>
          <t>Number of KPIs Red</t>
        </is>
      </c>
      <c r="C34" s="81" t="n"/>
      <c r="D34" s="81" t="n"/>
      <c r="E34" s="81" t="n"/>
      <c r="F34" s="82">
        <f>COUNTIF(F21:F31,"Red")</f>
        <v>1</v>
      </c>
      <c r="G34" s="82">
        <f>COUNTIF(G21:G31,"Red")</f>
        <v>0</v>
      </c>
      <c r="H34" s="82">
        <f>COUNTIF(H21:H31,"Red")</f>
        <v>0</v>
      </c>
      <c r="I34" s="82">
        <f>COUNTIF(I21:I31,"Red")</f>
        <v>0</v>
      </c>
      <c r="J34" s="82">
        <f>COUNTIF(J21:J31,"Red")</f>
        <v>0</v>
      </c>
      <c r="K34" s="82">
        <f>COUNTIF(K21:K31,"Red")</f>
        <v>0</v>
      </c>
      <c r="L34" s="82">
        <f>COUNTIF(L21:L31,"Red")</f>
        <v>2</v>
      </c>
      <c r="M34" s="82">
        <f>COUNTIF(M21:M31,"Red")</f>
        <v>4</v>
      </c>
      <c r="N34" s="82">
        <f>COUNTIF(N21:N31,"Red")</f>
        <v>3</v>
      </c>
      <c r="O34" s="82">
        <f>COUNTIF(O21:O31,"Red")</f>
        <v>3</v>
      </c>
      <c r="P34" s="82">
        <f>COUNTIF(P21:P31,"Red")</f>
        <v>0</v>
      </c>
      <c r="Q34" s="82">
        <f>COUNTIF(Q21:Q31,"Red")</f>
        <v>0</v>
      </c>
      <c r="R34" s="82">
        <f>COUNTIF(R21:R31,"Red")</f>
        <v>0</v>
      </c>
    </row>
    <row r="36">
      <c r="B36" s="20" t="inlineStr">
        <is>
          <t>axcellservice.com · Free template · Book a free 30-minute consultation: axcellservice.com/contact</t>
        </is>
      </c>
    </row>
  </sheetData>
  <mergeCells count="1">
    <mergeCell ref="B18:R18"/>
  </mergeCells>
  <conditionalFormatting sqref="F21:R31">
    <cfRule type="cellIs" priority="1" operator="equal" dxfId="0">
      <formula>"Green"</formula>
    </cfRule>
    <cfRule type="cellIs" priority="3" operator="equal" dxfId="1">
      <formula>"Amber"</formula>
    </cfRule>
    <cfRule type="cellIs" priority="5" operator="equal" dxfId="2">
      <formula>"Red"</formula>
    </cfRule>
  </conditionalFormatting>
  <conditionalFormatting sqref="F7:R17">
    <cfRule type="expression" priority="2" dxfId="5">
      <formula>F21="Green"</formula>
    </cfRule>
    <cfRule type="expression" priority="4" dxfId="6">
      <formula>F21="Amber"</formula>
    </cfRule>
    <cfRule type="expression" priority="6" dxfId="7">
      <formula>F21="Red"</formula>
    </cfRule>
  </conditionalFormatting>
  <dataValidations count="2">
    <dataValidation sqref="C7 C8 C9 C10 C11 C12 C13 C14 C15 C16 C17" showDropDown="0" showInputMessage="0" showErrorMessage="1" allowBlank="0" error="Choose Higher is better or Lower is better." type="list">
      <formula1>"Higher is better,Lower is better"</formula1>
    </dataValidation>
    <dataValidation sqref="E7 E8 E9 E10 E11 E12 E13 E14 E15 E16 E17" showDropDown="0" showInputMessage="0" showErrorMessage="1" allowBlank="0" error="Enter a percentage between 0% and 100%, e.g. 10%." type="decimal" operator="between">
      <formula1>0</formula1>
      <formula2>1</formula2>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O31"/>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46"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50" customWidth="1" min="15" max="15"/>
  </cols>
  <sheetData>
    <row r="1" ht="26" customHeight="1">
      <c r="B1" s="21" t="inlineStr">
        <is>
          <t>Monthly inputs</t>
        </is>
      </c>
    </row>
    <row r="2">
      <c r="B2" s="22" t="inlineStr">
        <is>
          <t>Axcell Financial Consulting · Monthly KPI Scorecard</t>
        </is>
      </c>
    </row>
    <row r="3">
      <c r="B3" s="19" t="str">
        <f>"Amounts in "&amp;'Start here'!$C$22&amp;". Enter costs as positive numbers. Example figures: months 1 to 10 entered."</f>
        <v>Amounts in Your currency. Enter costs as positive numbers. Example figures: months 1 to 10 entered.</v>
      </c>
    </row>
    <row r="5" ht="22" customHeight="1">
      <c r="B5" s="55" t="inlineStr">
        <is>
          <t>Item</t>
        </is>
      </c>
      <c r="C5" s="57">
        <f>'Start here'!$C$23</f>
        <v>46023.0</v>
      </c>
      <c r="D5" s="57">
        <f>EDATE(C5,1)</f>
        <v>46054.0</v>
      </c>
      <c r="E5" s="57">
        <f>EDATE(C5,2)</f>
        <v>46082.0</v>
      </c>
      <c r="F5" s="57">
        <f>EDATE(C5,3)</f>
        <v>46113.0</v>
      </c>
      <c r="G5" s="57">
        <f>EDATE(C5,4)</f>
        <v>46143.0</v>
      </c>
      <c r="H5" s="57">
        <f>EDATE(C5,5)</f>
        <v>46174.0</v>
      </c>
      <c r="I5" s="57">
        <f>EDATE(C5,6)</f>
        <v>46204.0</v>
      </c>
      <c r="J5" s="57">
        <f>EDATE(C5,7)</f>
        <v>46235.0</v>
      </c>
      <c r="K5" s="57">
        <f>EDATE(C5,8)</f>
        <v>46266.0</v>
      </c>
      <c r="L5" s="57">
        <f>EDATE(C5,9)</f>
        <v>46296.0</v>
      </c>
      <c r="M5" s="57">
        <f>EDATE(C5,10)</f>
        <v>46327.0</v>
      </c>
      <c r="N5" s="57">
        <f>EDATE(C5,11)</f>
        <v>46357.0</v>
      </c>
      <c r="O5" s="56" t="inlineStr">
        <is>
          <t>Where to find it</t>
        </is>
      </c>
    </row>
    <row r="6">
      <c r="B6" s="22" t="inlineStr">
        <is>
          <t>Month number</t>
        </is>
      </c>
      <c r="C6" s="58" t="n">
        <v>1</v>
      </c>
      <c r="D6" s="58" t="n">
        <v>2</v>
      </c>
      <c r="E6" s="58" t="n">
        <v>3</v>
      </c>
      <c r="F6" s="58" t="n">
        <v>4</v>
      </c>
      <c r="G6" s="58" t="n">
        <v>5</v>
      </c>
      <c r="H6" s="58" t="n">
        <v>6</v>
      </c>
      <c r="I6" s="58" t="n">
        <v>7</v>
      </c>
      <c r="J6" s="58" t="n">
        <v>8</v>
      </c>
      <c r="K6" s="58" t="n">
        <v>9</v>
      </c>
      <c r="L6" s="58" t="n">
        <v>10</v>
      </c>
      <c r="M6" s="58" t="n">
        <v>11</v>
      </c>
      <c r="N6" s="58" t="n">
        <v>12</v>
      </c>
    </row>
    <row r="7">
      <c r="B7" s="26" t="inlineStr">
        <is>
          <t>PROFIT AND LOSS (for the month)</t>
        </is>
      </c>
    </row>
    <row r="8">
      <c r="B8" s="78" t="inlineStr">
        <is>
          <t>Revenue (sales, net of discounts and returns)</t>
        </is>
      </c>
      <c r="C8" s="70" t="n">
        <v>820000</v>
      </c>
      <c r="D8" s="70" t="n">
        <v>790000</v>
      </c>
      <c r="E8" s="70" t="n">
        <v>860000</v>
      </c>
      <c r="F8" s="70" t="n">
        <v>900000</v>
      </c>
      <c r="G8" s="70" t="n">
        <v>940000</v>
      </c>
      <c r="H8" s="70" t="n">
        <v>880000</v>
      </c>
      <c r="I8" s="70" t="n">
        <v>830000</v>
      </c>
      <c r="J8" s="70" t="n">
        <v>870000</v>
      </c>
      <c r="K8" s="70" t="n">
        <v>950000</v>
      </c>
      <c r="L8" s="70" t="n">
        <v>990000</v>
      </c>
      <c r="M8" s="70" t="n"/>
      <c r="N8" s="70" t="n"/>
      <c r="O8" s="22" t="inlineStr">
        <is>
          <t>P&amp;L: total revenue for the month</t>
        </is>
      </c>
    </row>
    <row r="9">
      <c r="B9" s="78" t="inlineStr">
        <is>
          <t>Cost of sales (COGS / direct costs)</t>
        </is>
      </c>
      <c r="C9" s="70" t="n">
        <v>475600</v>
      </c>
      <c r="D9" s="70" t="n">
        <v>458200</v>
      </c>
      <c r="E9" s="70" t="n">
        <v>507400</v>
      </c>
      <c r="F9" s="70" t="n">
        <v>531000</v>
      </c>
      <c r="G9" s="70" t="n">
        <v>564000</v>
      </c>
      <c r="H9" s="70" t="n">
        <v>528000</v>
      </c>
      <c r="I9" s="70" t="n">
        <v>506300</v>
      </c>
      <c r="J9" s="70" t="n">
        <v>539400</v>
      </c>
      <c r="K9" s="70" t="n">
        <v>589000</v>
      </c>
      <c r="L9" s="70" t="n">
        <v>623700</v>
      </c>
      <c r="M9" s="70" t="n"/>
      <c r="N9" s="70" t="n"/>
      <c r="O9" s="22" t="inlineStr">
        <is>
          <t>P&amp;L: cost of goods sold or direct cost of services</t>
        </is>
      </c>
    </row>
    <row r="10">
      <c r="B10" s="78" t="inlineStr">
        <is>
          <t>Operating expenses (excluding cost of sales)</t>
        </is>
      </c>
      <c r="C10" s="70" t="n">
        <v>255000</v>
      </c>
      <c r="D10" s="70" t="n">
        <v>255000</v>
      </c>
      <c r="E10" s="70" t="n">
        <v>258000</v>
      </c>
      <c r="F10" s="70" t="n">
        <v>260000</v>
      </c>
      <c r="G10" s="70" t="n">
        <v>262000</v>
      </c>
      <c r="H10" s="70" t="n">
        <v>262000</v>
      </c>
      <c r="I10" s="70" t="n">
        <v>265000</v>
      </c>
      <c r="J10" s="70" t="n">
        <v>268000</v>
      </c>
      <c r="K10" s="70" t="n">
        <v>270000</v>
      </c>
      <c r="L10" s="70" t="n">
        <v>272000</v>
      </c>
      <c r="M10" s="70" t="n"/>
      <c r="N10" s="70" t="n"/>
      <c r="O10" s="22" t="inlineStr">
        <is>
          <t>P&amp;L: salaries, rent, admin, marketing, depreciation</t>
        </is>
      </c>
    </row>
    <row r="11">
      <c r="B11" s="78" t="inlineStr">
        <is>
          <t>Interest, tax and other items (net)</t>
        </is>
      </c>
      <c r="C11" s="70" t="n">
        <v>9000</v>
      </c>
      <c r="D11" s="70" t="n">
        <v>9000</v>
      </c>
      <c r="E11" s="70" t="n">
        <v>9500</v>
      </c>
      <c r="F11" s="70" t="n">
        <v>9500</v>
      </c>
      <c r="G11" s="70" t="n">
        <v>10000</v>
      </c>
      <c r="H11" s="70" t="n">
        <v>10000</v>
      </c>
      <c r="I11" s="70" t="n">
        <v>10500</v>
      </c>
      <c r="J11" s="70" t="n">
        <v>11000</v>
      </c>
      <c r="K11" s="70" t="n">
        <v>11500</v>
      </c>
      <c r="L11" s="70" t="n">
        <v>12000</v>
      </c>
      <c r="M11" s="70" t="n"/>
      <c r="N11" s="70" t="n"/>
      <c r="O11" s="22" t="inlineStr">
        <is>
          <t>P&amp;L: finance costs, tax/Zakat, other income (enter income as negative)</t>
        </is>
      </c>
    </row>
    <row r="12">
      <c r="B12" s="83" t="inlineStr">
        <is>
          <t>Net profit (calculated)</t>
        </is>
      </c>
      <c r="C12" s="84">
        <f>IF(C28=0,"",C8-C9-C10-C11)</f>
        <v>80400</v>
      </c>
      <c r="D12" s="84">
        <f>IF(D28=0,"",D8-D9-D10-D11)</f>
        <v>67800</v>
      </c>
      <c r="E12" s="84">
        <f>IF(E28=0,"",E8-E9-E10-E11)</f>
        <v>85100</v>
      </c>
      <c r="F12" s="84">
        <f>IF(F28=0,"",F8-F9-F10-F11)</f>
        <v>99500</v>
      </c>
      <c r="G12" s="84">
        <f>IF(G28=0,"",G8-G9-G10-G11)</f>
        <v>104000</v>
      </c>
      <c r="H12" s="84">
        <f>IF(H28=0,"",H8-H9-H10-H11)</f>
        <v>80000</v>
      </c>
      <c r="I12" s="84">
        <f>IF(I28=0,"",I8-I9-I10-I11)</f>
        <v>48200</v>
      </c>
      <c r="J12" s="84">
        <f>IF(J28=0,"",J8-J9-J10-J11)</f>
        <v>51600</v>
      </c>
      <c r="K12" s="84">
        <f>IF(K28=0,"",K8-K9-K10-K11)</f>
        <v>79500</v>
      </c>
      <c r="L12" s="84">
        <f>IF(L28=0,"",L8-L9-L10-L11)</f>
        <v>82300</v>
      </c>
      <c r="M12" s="84">
        <f>IF(M28=0,"",M8-M9-M10-M11)</f>
        <v/>
      </c>
      <c r="N12" s="84">
        <f>IF(N28=0,"",N8-N9-N10-N11)</f>
        <v/>
      </c>
      <c r="O12" s="22" t="inlineStr">
        <is>
          <t>Revenue − cost of sales − operating expenses − other items</t>
        </is>
      </c>
    </row>
    <row r="13">
      <c r="B13" s="26" t="inlineStr">
        <is>
          <t>BALANCE SHEET (at month end)</t>
        </is>
      </c>
    </row>
    <row r="14">
      <c r="B14" s="78" t="inlineStr">
        <is>
          <t>Cash and bank balances</t>
        </is>
      </c>
      <c r="C14" s="70" t="n">
        <v>610000</v>
      </c>
      <c r="D14" s="70" t="n">
        <v>585000</v>
      </c>
      <c r="E14" s="70" t="n">
        <v>570000</v>
      </c>
      <c r="F14" s="70" t="n">
        <v>540000</v>
      </c>
      <c r="G14" s="70" t="n">
        <v>525000</v>
      </c>
      <c r="H14" s="70" t="n">
        <v>500000</v>
      </c>
      <c r="I14" s="70" t="n">
        <v>470000</v>
      </c>
      <c r="J14" s="70" t="n">
        <v>455000</v>
      </c>
      <c r="K14" s="70" t="n">
        <v>430000</v>
      </c>
      <c r="L14" s="70" t="n">
        <v>410000</v>
      </c>
      <c r="M14" s="70" t="n"/>
      <c r="N14" s="70" t="n"/>
      <c r="O14" s="22" t="inlineStr">
        <is>
          <t>Balance sheet / bank statements at month end</t>
        </is>
      </c>
    </row>
    <row r="15">
      <c r="B15" s="78" t="inlineStr">
        <is>
          <t>Trade receivables (customers owe you)</t>
        </is>
      </c>
      <c r="C15" s="70" t="n">
        <v>1375500</v>
      </c>
      <c r="D15" s="70" t="n">
        <v>1523600</v>
      </c>
      <c r="E15" s="70" t="n">
        <v>1525800</v>
      </c>
      <c r="F15" s="70" t="n">
        <v>1710000</v>
      </c>
      <c r="G15" s="70" t="n">
        <v>1819400</v>
      </c>
      <c r="H15" s="70" t="n">
        <v>1818700</v>
      </c>
      <c r="I15" s="70" t="n">
        <v>1740300</v>
      </c>
      <c r="J15" s="70" t="n">
        <v>1880300</v>
      </c>
      <c r="K15" s="70" t="n">
        <v>2216700</v>
      </c>
      <c r="L15" s="70" t="n">
        <v>2363200</v>
      </c>
      <c r="M15" s="70" t="n"/>
      <c r="N15" s="70" t="n"/>
      <c r="O15" s="22" t="inlineStr">
        <is>
          <t>Balance sheet or AR aging total</t>
        </is>
      </c>
    </row>
    <row r="16">
      <c r="B16" s="78" t="inlineStr">
        <is>
          <t>Inventory / stock</t>
        </is>
      </c>
      <c r="C16" s="70" t="n">
        <v>613700</v>
      </c>
      <c r="D16" s="70" t="n">
        <v>670900</v>
      </c>
      <c r="E16" s="70" t="n">
        <v>671100</v>
      </c>
      <c r="F16" s="70" t="n">
        <v>743400</v>
      </c>
      <c r="G16" s="70" t="n">
        <v>782300</v>
      </c>
      <c r="H16" s="70" t="n">
        <v>774400</v>
      </c>
      <c r="I16" s="70" t="n">
        <v>735000</v>
      </c>
      <c r="J16" s="70" t="n">
        <v>800400</v>
      </c>
      <c r="K16" s="70" t="n">
        <v>922800</v>
      </c>
      <c r="L16" s="70" t="n">
        <v>965700</v>
      </c>
      <c r="M16" s="70" t="n"/>
      <c r="N16" s="70" t="n"/>
      <c r="O16" s="22" t="inlineStr">
        <is>
          <t>Balance sheet or stock valuation (enter 0 if none)</t>
        </is>
      </c>
    </row>
    <row r="17">
      <c r="B17" s="78" t="inlineStr">
        <is>
          <t>Other current assets (prepayments, deposits, etc.)</t>
        </is>
      </c>
      <c r="C17" s="70" t="n">
        <v>60000</v>
      </c>
      <c r="D17" s="70" t="n">
        <v>60000</v>
      </c>
      <c r="E17" s="70" t="n">
        <v>60000</v>
      </c>
      <c r="F17" s="70" t="n">
        <v>60000</v>
      </c>
      <c r="G17" s="70" t="n">
        <v>60000</v>
      </c>
      <c r="H17" s="70" t="n">
        <v>60000</v>
      </c>
      <c r="I17" s="70" t="n">
        <v>60000</v>
      </c>
      <c r="J17" s="70" t="n">
        <v>60000</v>
      </c>
      <c r="K17" s="70" t="n">
        <v>60000</v>
      </c>
      <c r="L17" s="70" t="n">
        <v>60000</v>
      </c>
      <c r="M17" s="70" t="n"/>
      <c r="N17" s="70" t="n"/>
      <c r="O17" s="22" t="inlineStr">
        <is>
          <t>Balance sheet: remaining current assets</t>
        </is>
      </c>
    </row>
    <row r="18">
      <c r="B18" s="83" t="inlineStr">
        <is>
          <t>Total current assets (calculated)</t>
        </is>
      </c>
      <c r="C18" s="84">
        <f>IF(C28=0,"",SUM(C14:C17))</f>
        <v>2659200</v>
      </c>
      <c r="D18" s="84">
        <f>IF(D28=0,"",SUM(D14:D17))</f>
        <v>2839500</v>
      </c>
      <c r="E18" s="84">
        <f>IF(E28=0,"",SUM(E14:E17))</f>
        <v>2826900</v>
      </c>
      <c r="F18" s="84">
        <f>IF(F28=0,"",SUM(F14:F17))</f>
        <v>3053400</v>
      </c>
      <c r="G18" s="84">
        <f>IF(G28=0,"",SUM(G14:G17))</f>
        <v>3186700</v>
      </c>
      <c r="H18" s="84">
        <f>IF(H28=0,"",SUM(H14:H17))</f>
        <v>3153100</v>
      </c>
      <c r="I18" s="84">
        <f>IF(I28=0,"",SUM(I14:I17))</f>
        <v>3005300</v>
      </c>
      <c r="J18" s="84">
        <f>IF(J28=0,"",SUM(J14:J17))</f>
        <v>3195700</v>
      </c>
      <c r="K18" s="84">
        <f>IF(K28=0,"",SUM(K14:K17))</f>
        <v>3629500</v>
      </c>
      <c r="L18" s="84">
        <f>IF(L28=0,"",SUM(L14:L17))</f>
        <v>3798900</v>
      </c>
      <c r="M18" s="84">
        <f>IF(M28=0,"",SUM(M14:M17))</f>
        <v/>
      </c>
      <c r="N18" s="84">
        <f>IF(N28=0,"",SUM(N14:N17))</f>
        <v/>
      </c>
      <c r="O18" s="22" t="inlineStr">
        <is>
          <t>Sum of the four lines above</t>
        </is>
      </c>
    </row>
    <row r="19">
      <c r="B19" s="78" t="inlineStr">
        <is>
          <t>Trade payables (you owe suppliers)</t>
        </is>
      </c>
      <c r="C19" s="70" t="n">
        <v>705700</v>
      </c>
      <c r="D19" s="70" t="n">
        <v>736400</v>
      </c>
      <c r="E19" s="70" t="n">
        <v>736500</v>
      </c>
      <c r="F19" s="70" t="n">
        <v>778800</v>
      </c>
      <c r="G19" s="70" t="n">
        <v>782300</v>
      </c>
      <c r="H19" s="70" t="n">
        <v>739200</v>
      </c>
      <c r="I19" s="70" t="n">
        <v>669600</v>
      </c>
      <c r="J19" s="70" t="n">
        <v>696000</v>
      </c>
      <c r="K19" s="70" t="n">
        <v>765700</v>
      </c>
      <c r="L19" s="70" t="n">
        <v>764500</v>
      </c>
      <c r="M19" s="70" t="n"/>
      <c r="N19" s="70" t="n"/>
      <c r="O19" s="22" t="inlineStr">
        <is>
          <t>Balance sheet or AP aging total</t>
        </is>
      </c>
    </row>
    <row r="20">
      <c r="B20" s="78" t="inlineStr">
        <is>
          <t>Other current liabilities (short-term loans, accruals, tax due)</t>
        </is>
      </c>
      <c r="C20" s="70" t="n">
        <v>1150000</v>
      </c>
      <c r="D20" s="70" t="n">
        <v>1160000</v>
      </c>
      <c r="E20" s="70" t="n">
        <v>1180000</v>
      </c>
      <c r="F20" s="70" t="n">
        <v>1200000</v>
      </c>
      <c r="G20" s="70" t="n">
        <v>1250000</v>
      </c>
      <c r="H20" s="70" t="n">
        <v>1300000</v>
      </c>
      <c r="I20" s="70" t="n">
        <v>1320000</v>
      </c>
      <c r="J20" s="70" t="n">
        <v>1350000</v>
      </c>
      <c r="K20" s="70" t="n">
        <v>1380000</v>
      </c>
      <c r="L20" s="70" t="n">
        <v>1420000</v>
      </c>
      <c r="M20" s="70" t="n"/>
      <c r="N20" s="70" t="n"/>
      <c r="O20" s="22" t="inlineStr">
        <is>
          <t>Balance sheet: remaining current liabilities</t>
        </is>
      </c>
    </row>
    <row r="21">
      <c r="B21" s="83" t="inlineStr">
        <is>
          <t>Total current liabilities (calculated)</t>
        </is>
      </c>
      <c r="C21" s="84">
        <f>IF(C28=0,"",SUM(C19:C20))</f>
        <v>1855700</v>
      </c>
      <c r="D21" s="84">
        <f>IF(D28=0,"",SUM(D19:D20))</f>
        <v>1896400</v>
      </c>
      <c r="E21" s="84">
        <f>IF(E28=0,"",SUM(E19:E20))</f>
        <v>1916500</v>
      </c>
      <c r="F21" s="84">
        <f>IF(F28=0,"",SUM(F19:F20))</f>
        <v>1978800</v>
      </c>
      <c r="G21" s="84">
        <f>IF(G28=0,"",SUM(G19:G20))</f>
        <v>2032300</v>
      </c>
      <c r="H21" s="84">
        <f>IF(H28=0,"",SUM(H19:H20))</f>
        <v>2039200</v>
      </c>
      <c r="I21" s="84">
        <f>IF(I28=0,"",SUM(I19:I20))</f>
        <v>1989600</v>
      </c>
      <c r="J21" s="84">
        <f>IF(J28=0,"",SUM(J19:J20))</f>
        <v>2046000</v>
      </c>
      <c r="K21" s="84">
        <f>IF(K28=0,"",SUM(K19:K20))</f>
        <v>2145700</v>
      </c>
      <c r="L21" s="84">
        <f>IF(L28=0,"",SUM(L19:L20))</f>
        <v>2184500</v>
      </c>
      <c r="M21" s="84">
        <f>IF(M28=0,"",SUM(M19:M20))</f>
        <v/>
      </c>
      <c r="N21" s="84">
        <f>IF(N28=0,"",SUM(N19:N20))</f>
        <v/>
      </c>
      <c r="O21" s="22" t="inlineStr">
        <is>
          <t>Sum of the two lines above</t>
        </is>
      </c>
    </row>
    <row r="22">
      <c r="B22" s="78" t="inlineStr">
        <is>
          <t>Total borrowings (short and long term)</t>
        </is>
      </c>
      <c r="C22" s="70" t="n">
        <v>900000</v>
      </c>
      <c r="D22" s="70" t="n">
        <v>890000</v>
      </c>
      <c r="E22" s="70" t="n">
        <v>880000</v>
      </c>
      <c r="F22" s="70" t="n">
        <v>870000</v>
      </c>
      <c r="G22" s="70" t="n">
        <v>860000</v>
      </c>
      <c r="H22" s="70" t="n">
        <v>850000</v>
      </c>
      <c r="I22" s="70" t="n">
        <v>840000</v>
      </c>
      <c r="J22" s="70" t="n">
        <v>830000</v>
      </c>
      <c r="K22" s="70" t="n">
        <v>820000</v>
      </c>
      <c r="L22" s="70" t="n">
        <v>810000</v>
      </c>
      <c r="M22" s="70" t="n"/>
      <c r="N22" s="70" t="n"/>
      <c r="O22" s="22" t="inlineStr">
        <is>
          <t>All bank loans, overdrafts and other borrowings</t>
        </is>
      </c>
    </row>
    <row r="23">
      <c r="B23" s="78" t="inlineStr">
        <is>
          <t>Total equity</t>
        </is>
      </c>
      <c r="C23" s="70" t="n">
        <v>1580400</v>
      </c>
      <c r="D23" s="70" t="n">
        <v>1648200</v>
      </c>
      <c r="E23" s="70" t="n">
        <v>1733300</v>
      </c>
      <c r="F23" s="70" t="n">
        <v>1832800</v>
      </c>
      <c r="G23" s="70" t="n">
        <v>1936800</v>
      </c>
      <c r="H23" s="70" t="n">
        <v>2016800</v>
      </c>
      <c r="I23" s="70" t="n">
        <v>2065000</v>
      </c>
      <c r="J23" s="70" t="n">
        <v>2116600</v>
      </c>
      <c r="K23" s="70" t="n">
        <v>2196100</v>
      </c>
      <c r="L23" s="70" t="n">
        <v>2278400</v>
      </c>
      <c r="M23" s="70" t="n"/>
      <c r="N23" s="70" t="n"/>
      <c r="O23" s="22" t="inlineStr">
        <is>
          <t>Balance sheet: capital + retained earnings</t>
        </is>
      </c>
    </row>
    <row r="24">
      <c r="B24" s="26" t="inlineStr">
        <is>
          <t>PEOPLE</t>
        </is>
      </c>
    </row>
    <row r="25">
      <c r="B25" s="78" t="inlineStr">
        <is>
          <t>Headcount (full-time equivalent, month end)</t>
        </is>
      </c>
      <c r="C25" s="73" t="n">
        <v>22</v>
      </c>
      <c r="D25" s="73" t="n">
        <v>22</v>
      </c>
      <c r="E25" s="73" t="n">
        <v>23</v>
      </c>
      <c r="F25" s="73" t="n">
        <v>23</v>
      </c>
      <c r="G25" s="73" t="n">
        <v>23</v>
      </c>
      <c r="H25" s="73" t="n">
        <v>24</v>
      </c>
      <c r="I25" s="73" t="n">
        <v>24</v>
      </c>
      <c r="J25" s="73" t="n">
        <v>24</v>
      </c>
      <c r="K25" s="73" t="n">
        <v>25</v>
      </c>
      <c r="L25" s="73" t="n">
        <v>25</v>
      </c>
      <c r="M25" s="73" t="n"/>
      <c r="N25" s="73" t="n"/>
      <c r="O25" s="22" t="inlineStr">
        <is>
          <t>HR or payroll: count part-timers as fractions</t>
        </is>
      </c>
    </row>
    <row r="26">
      <c r="B26" s="26" t="inlineStr">
        <is>
          <t>HELPER ROWS (calculated, do not type here)</t>
        </is>
      </c>
    </row>
    <row r="27">
      <c r="B27" s="30" t="inlineStr">
        <is>
          <t>Days in month</t>
        </is>
      </c>
      <c r="C27" s="85">
        <f>DAY(EOMONTH(C5,0))</f>
        <v>31</v>
      </c>
      <c r="D27" s="85">
        <f>DAY(EOMONTH(D5,0))</f>
        <v>28</v>
      </c>
      <c r="E27" s="85">
        <f>DAY(EOMONTH(E5,0))</f>
        <v>31</v>
      </c>
      <c r="F27" s="85">
        <f>DAY(EOMONTH(F5,0))</f>
        <v>30</v>
      </c>
      <c r="G27" s="85">
        <f>DAY(EOMONTH(G5,0))</f>
        <v>31</v>
      </c>
      <c r="H27" s="85">
        <f>DAY(EOMONTH(H5,0))</f>
        <v>30</v>
      </c>
      <c r="I27" s="85">
        <f>DAY(EOMONTH(I5,0))</f>
        <v>31</v>
      </c>
      <c r="J27" s="85">
        <f>DAY(EOMONTH(J5,0))</f>
        <v>31</v>
      </c>
      <c r="K27" s="85">
        <f>DAY(EOMONTH(K5,0))</f>
        <v>30</v>
      </c>
      <c r="L27" s="85">
        <f>DAY(EOMONTH(L5,0))</f>
        <v>31</v>
      </c>
      <c r="M27" s="85">
        <f>DAY(EOMONTH(M5,0))</f>
        <v>30</v>
      </c>
      <c r="N27" s="85">
        <f>DAY(EOMONTH(N5,0))</f>
        <v>31</v>
      </c>
      <c r="O27" s="22" t="inlineStr">
        <is>
          <t>Used for DSO, DPO and DIO</t>
        </is>
      </c>
    </row>
    <row r="28">
      <c r="B28" s="30" t="inlineStr">
        <is>
          <t>Month has data (1 = yes)</t>
        </is>
      </c>
      <c r="C28" s="85">
        <f>IF(ISNUMBER(C8),1,0)</f>
        <v>1</v>
      </c>
      <c r="D28" s="85">
        <f>IF(ISNUMBER(D8),1,0)</f>
        <v>1</v>
      </c>
      <c r="E28" s="85">
        <f>IF(ISNUMBER(E8),1,0)</f>
        <v>1</v>
      </c>
      <c r="F28" s="85">
        <f>IF(ISNUMBER(F8),1,0)</f>
        <v>1</v>
      </c>
      <c r="G28" s="85">
        <f>IF(ISNUMBER(G8),1,0)</f>
        <v>1</v>
      </c>
      <c r="H28" s="85">
        <f>IF(ISNUMBER(H8),1,0)</f>
        <v>1</v>
      </c>
      <c r="I28" s="85">
        <f>IF(ISNUMBER(I8),1,0)</f>
        <v>1</v>
      </c>
      <c r="J28" s="85">
        <f>IF(ISNUMBER(J8),1,0)</f>
        <v>1</v>
      </c>
      <c r="K28" s="85">
        <f>IF(ISNUMBER(K8),1,0)</f>
        <v>1</v>
      </c>
      <c r="L28" s="85">
        <f>IF(ISNUMBER(L8),1,0)</f>
        <v>1</v>
      </c>
      <c r="M28" s="85">
        <f>IF(ISNUMBER(M8),1,0)</f>
        <v>0</v>
      </c>
      <c r="N28" s="85">
        <f>IF(ISNUMBER(N8),1,0)</f>
        <v>0</v>
      </c>
      <c r="O28" s="22" t="inlineStr">
        <is>
          <t>A month counts once revenue is entered</t>
        </is>
      </c>
    </row>
    <row r="29">
      <c r="B29" s="30" t="inlineStr">
        <is>
          <t>Cash decrease in month (+ = cash fell)</t>
        </is>
      </c>
      <c r="C29" s="86">
        <f>IF(C28=0,"",N('Start here'!$C$24)-N(C14))</f>
        <v>30000</v>
      </c>
      <c r="D29" s="86">
        <f>IF(D28=0,"",N(C14)-N(D14))</f>
        <v>25000</v>
      </c>
      <c r="E29" s="86">
        <f>IF(E28=0,"",N(D14)-N(E14))</f>
        <v>15000</v>
      </c>
      <c r="F29" s="86">
        <f>IF(F28=0,"",N(E14)-N(F14))</f>
        <v>30000</v>
      </c>
      <c r="G29" s="86">
        <f>IF(G28=0,"",N(F14)-N(G14))</f>
        <v>15000</v>
      </c>
      <c r="H29" s="86">
        <f>IF(H28=0,"",N(G14)-N(H14))</f>
        <v>25000</v>
      </c>
      <c r="I29" s="86">
        <f>IF(I28=0,"",N(H14)-N(I14))</f>
        <v>30000</v>
      </c>
      <c r="J29" s="86">
        <f>IF(J28=0,"",N(I14)-N(J14))</f>
        <v>15000</v>
      </c>
      <c r="K29" s="86">
        <f>IF(K28=0,"",N(J14)-N(K14))</f>
        <v>25000</v>
      </c>
      <c r="L29" s="86">
        <f>IF(L28=0,"",N(K14)-N(L14))</f>
        <v>20000</v>
      </c>
      <c r="M29" s="86">
        <f>IF(M28=0,"",N(L14)-N(M14))</f>
        <v/>
      </c>
      <c r="N29" s="86">
        <f>IF(N28=0,"",N(M14)-N(N14))</f>
        <v/>
      </c>
      <c r="O29" s="22" t="inlineStr">
        <is>
          <t>Previous month-end cash − this month-end cash</t>
        </is>
      </c>
    </row>
    <row r="31">
      <c r="B31" s="20" t="inlineStr">
        <is>
          <t>axcellservice.com · Free template · Book a free 30-minute consultation: axcellservice.com/contact</t>
        </is>
      </c>
    </row>
  </sheetData>
  <dataValidations count="2">
    <dataValidation sqref="C8 C9 C10 C14 C15 C16 C17 C19 C20 C22 C25 D8 D9 D10 D14 D15 D16 D17 D19 D20 D22 D25 E8 E9 E10 E14 E15 E16 E17 E19 E20 E22 E25 F8 F9 F10 F14 F15 F16 F17 F19 F20 F22 F25 G8 G9 G10 G14 G15 G16 G17 G19 G20 G22 G25 H8 H9 H10 H14 H15 H16 H17 H19 H20 H22 H25 I8 I9 I10 I14 I15 I16 I17 I19 I20 I22 I25 J8 J9 J10 J14 J15 J16 J17 J19 J20 J22 J25 K8 K9 K10 K14 K15 K16 K17 K19 K20 K22 K25 L8 L9 L10 L14 L15 L16 L17 L19 L20 L22 L25 M8 M9 M10 M14 M15 M16 M17 M19 M20 M22 M25 N8 N9 N10 N14 N15 N16 N17 N19 N20 N22 N25" showDropDown="0" showInputMessage="0" showErrorMessage="1" allowBlank="0" errorTitle="Positive numbers" error="Enter amounts as positive numbers (costs too)." type="decimal" errorStyle="warning" operator="greaterThanOrEqual">
      <formula1>0</formula1>
    </dataValidation>
    <dataValidation sqref="C11 C23 D11 D23 E11 E23 F11 F23 G11 G23 H11 H23 I11 I23 J11 J23 K11 K23 L11 L23 M11 M23 N11 N23" showDropDown="0" showInputMessage="0" showErrorMessage="1" allowBlank="0" error="Enter a number." type="decimal" operator="between">
      <formula1>-1E+15</formula1>
      <formula2>1E+15</formula2>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1:E19"/>
  <sheetViews>
    <sheetView showGridLines="0" workbookViewId="0">
      <pane ySplit="4" topLeftCell="A5" activePane="bottomLeft" state="frozen"/>
      <selection pane="bottomLeft" activeCell="A1" sqref="A1"/>
    </sheetView>
  </sheetViews>
  <sheetFormatPr baseColWidth="8" defaultRowHeight="15"/>
  <cols>
    <col width="2" customWidth="1" min="1" max="1"/>
    <col width="32" customWidth="1" min="2" max="2"/>
    <col width="44" customWidth="1" min="3" max="3"/>
    <col width="16" customWidth="1" min="4" max="4"/>
    <col width="60" customWidth="1" min="5" max="5"/>
  </cols>
  <sheetData>
    <row r="1" ht="26" customHeight="1">
      <c r="B1" s="21" t="inlineStr">
        <is>
          <t>KPI guide: what each measure means</t>
        </is>
      </c>
    </row>
    <row r="2">
      <c r="B2" s="22" t="inlineStr">
        <is>
          <t>Axcell Financial Consulting · Monthly KPI Scorecard</t>
        </is>
      </c>
    </row>
    <row r="4">
      <c r="B4" s="4" t="inlineStr">
        <is>
          <t>KPI</t>
        </is>
      </c>
      <c r="C4" s="4" t="inlineStr">
        <is>
          <t>How it is calculated</t>
        </is>
      </c>
      <c r="D4" s="4" t="inlineStr">
        <is>
          <t>Default direction</t>
        </is>
      </c>
      <c r="E4" s="4" t="inlineStr">
        <is>
          <t>What it tells you</t>
        </is>
      </c>
    </row>
    <row r="5" ht="30" customHeight="1">
      <c r="B5" s="87" t="inlineStr">
        <is>
          <t>Gross margin %</t>
        </is>
      </c>
      <c r="C5" s="88" t="inlineStr">
        <is>
          <t>(Revenue − cost of sales) ÷ revenue</t>
        </is>
      </c>
      <c r="D5" s="88" t="inlineStr">
        <is>
          <t>Higher is better</t>
        </is>
      </c>
      <c r="E5" s="88" t="inlineStr">
        <is>
          <t>How much of each sale is left after direct costs to pay overheads and profit.</t>
        </is>
      </c>
    </row>
    <row r="6" ht="30" customHeight="1">
      <c r="B6" s="87" t="inlineStr">
        <is>
          <t>Net margin %</t>
        </is>
      </c>
      <c r="C6" s="88" t="inlineStr">
        <is>
          <t>Net profit ÷ revenue</t>
        </is>
      </c>
      <c r="D6" s="88" t="inlineStr">
        <is>
          <t>Higher is better</t>
        </is>
      </c>
      <c r="E6" s="88" t="inlineStr">
        <is>
          <t>How much of each sale ends up as profit after all costs.</t>
        </is>
      </c>
    </row>
    <row r="7" ht="30" customHeight="1">
      <c r="B7" s="87" t="inlineStr">
        <is>
          <t>Current ratio (x)</t>
        </is>
      </c>
      <c r="C7" s="88" t="inlineStr">
        <is>
          <t>Total current assets ÷ total current liabilities</t>
        </is>
      </c>
      <c r="D7" s="88" t="inlineStr">
        <is>
          <t>Higher is better</t>
        </is>
      </c>
      <c r="E7" s="88" t="inlineStr">
        <is>
          <t>Can short-term assets cover the bills due within a year?</t>
        </is>
      </c>
    </row>
    <row r="8" ht="30" customHeight="1">
      <c r="B8" s="87" t="inlineStr">
        <is>
          <t>Quick ratio (x)</t>
        </is>
      </c>
      <c r="C8" s="88" t="inlineStr">
        <is>
          <t>(Current assets − inventory) ÷ current liabilities</t>
        </is>
      </c>
      <c r="D8" s="88" t="inlineStr">
        <is>
          <t>Higher is better</t>
        </is>
      </c>
      <c r="E8" s="88" t="inlineStr">
        <is>
          <t>Can you pay short-term bills without selling stock?</t>
        </is>
      </c>
    </row>
    <row r="9" ht="30" customHeight="1">
      <c r="B9" s="87" t="inlineStr">
        <is>
          <t>Days sales outstanding (DSO)</t>
        </is>
      </c>
      <c r="C9" s="88" t="inlineStr">
        <is>
          <t>Trade receivables ÷ revenue for the month × days in month</t>
        </is>
      </c>
      <c r="D9" s="88" t="inlineStr">
        <is>
          <t>Lower is better</t>
        </is>
      </c>
      <c r="E9" s="88" t="inlineStr">
        <is>
          <t>How many days customers take, on average, to pay you.</t>
        </is>
      </c>
    </row>
    <row r="10" ht="30" customHeight="1">
      <c r="B10" s="87" t="inlineStr">
        <is>
          <t>Days payables outstanding (DPO)</t>
        </is>
      </c>
      <c r="C10" s="88" t="inlineStr">
        <is>
          <t>Trade payables ÷ cost of sales for the month × days in month</t>
        </is>
      </c>
      <c r="D10" s="88" t="inlineStr">
        <is>
          <t>Higher is better</t>
        </is>
      </c>
      <c r="E10" s="88" t="inlineStr">
        <is>
          <t>How many days you take, on average, to pay suppliers. Higher helps cash, but stay within agreed terms.</t>
        </is>
      </c>
    </row>
    <row r="11" ht="30" customHeight="1">
      <c r="B11" s="87" t="inlineStr">
        <is>
          <t>Days inventory outstanding (DIO)</t>
        </is>
      </c>
      <c r="C11" s="88" t="inlineStr">
        <is>
          <t>Inventory ÷ cost of sales for the month × days in month</t>
        </is>
      </c>
      <c r="D11" s="88" t="inlineStr">
        <is>
          <t>Lower is better</t>
        </is>
      </c>
      <c r="E11" s="88" t="inlineStr">
        <is>
          <t>How many days of sales your stock would last.</t>
        </is>
      </c>
    </row>
    <row r="12" ht="30" customHeight="1">
      <c r="B12" s="87" t="inlineStr">
        <is>
          <t>Cash conversion cycle (days)</t>
        </is>
      </c>
      <c r="C12" s="88" t="inlineStr">
        <is>
          <t>DSO + DIO − DPO</t>
        </is>
      </c>
      <c r="D12" s="88" t="inlineStr">
        <is>
          <t>Lower is better</t>
        </is>
      </c>
      <c r="E12" s="88" t="inlineStr">
        <is>
          <t>Days between paying suppliers and collecting from customers. Lower = less cash tied up.</t>
        </is>
      </c>
    </row>
    <row r="13" ht="30" customHeight="1">
      <c r="B13" s="87" t="inlineStr">
        <is>
          <t>Debt to equity (x)</t>
        </is>
      </c>
      <c r="C13" s="88" t="inlineStr">
        <is>
          <t>Total borrowings ÷ total equity</t>
        </is>
      </c>
      <c r="D13" s="88" t="inlineStr">
        <is>
          <t>Lower is better</t>
        </is>
      </c>
      <c r="E13" s="88" t="inlineStr">
        <is>
          <t>How much the business relies on lenders versus owners' money.</t>
        </is>
      </c>
    </row>
    <row r="14" ht="30" customHeight="1">
      <c r="B14" s="87" t="inlineStr">
        <is>
          <t>Revenue per employee (month)</t>
        </is>
      </c>
      <c r="C14" s="88" t="inlineStr">
        <is>
          <t>Revenue for the month ÷ headcount (FTE)</t>
        </is>
      </c>
      <c r="D14" s="88" t="inlineStr">
        <is>
          <t>Higher is better</t>
        </is>
      </c>
      <c r="E14" s="88" t="inlineStr">
        <is>
          <t>Productivity: sales generated per person each month.</t>
        </is>
      </c>
    </row>
    <row r="15" ht="30" customHeight="1">
      <c r="B15" s="87" t="inlineStr">
        <is>
          <t>Cash runway (months)</t>
        </is>
      </c>
      <c r="C15" s="88" t="inlineStr">
        <is>
          <t>Cash ÷ average monthly cash decrease (last 3 months)</t>
        </is>
      </c>
      <c r="D15" s="88" t="inlineStr">
        <is>
          <t>Higher is better</t>
        </is>
      </c>
      <c r="E15" s="88" t="inlineStr">
        <is>
          <t>How many months cash lasts if it keeps falling at the recent pace.</t>
        </is>
      </c>
    </row>
    <row r="17">
      <c r="B17" s="19" t="inlineStr">
        <is>
          <t>There is no universal 'good' value: what is healthy depends on your industry, credit terms and growth stage. Use your own history, your plan and your bank's covenants to set targets.</t>
        </is>
      </c>
    </row>
    <row r="19">
      <c r="B19" s="20" t="inlineStr">
        <is>
          <t>axcellservice.com · Free template · Book a free 30-minute consultation: axcellservice.com/contact</t>
        </is>
      </c>
    </row>
  </sheetData>
  <mergeCells count="1">
    <mergeCell ref="B17:E17"/>
  </mergeCell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Axcell Financial Consulting</dc:creator>
  <dc:title xmlns:dc="http://purl.org/dc/elements/1.1/">Monthly KPI Scorecard</dc:title>
  <dcterms:created xmlns:dcterms="http://purl.org/dc/terms/" xmlns:xsi="http://www.w3.org/2001/XMLSchema-instance" xsi:type="dcterms:W3CDTF">2026-11-05T09:11:30Z</dcterms:created>
  <dcterms:modified xmlns:dcterms="http://purl.org/dc/terms/" xmlns:xsi="http://www.w3.org/2001/XMLSchema-instance" xsi:type="dcterms:W3CDTF">2026-11-05T09:11:30Z</dcterms:modified>
</cp:coreProperties>
</file>