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Budget vs Actual" sheetId="2" state="visible" r:id="rId2"/>
    <sheet xmlns:r="http://schemas.openxmlformats.org/officeDocument/2006/relationships" name="Actual" sheetId="3" state="visible" r:id="rId3"/>
    <sheet xmlns:r="http://schemas.openxmlformats.org/officeDocument/2006/relationships" name="Budget" sheetId="4" state="visible" r:id="rId4"/>
  </sheets>
  <definedNames>
    <definedName name="_xlnm.Print_Area" localSheetId="1">'Budget vs Actual'!$A$1:$M$51</definedName>
    <definedName name="_xlnm.Print_Titles" localSheetId="2">'Actual'!$5:$6</definedName>
    <definedName name="_xlnm.Print_Area" localSheetId="2">'Actual'!$A$1:$P$38</definedName>
    <definedName name="_xlnm.Print_Titles" localSheetId="3">'Budget'!$5:$6</definedName>
    <definedName name="_xlnm.Print_Area" localSheetId="3">'Budget'!$A$1:$P$38</definedName>
  </definedNames>
  <calcPr calcId="124519" fullCalcOnLoad="1"/>
</workbook>
</file>

<file path=xl/styles.xml><?xml version="1.0" encoding="utf-8"?>
<styleSheet xmlns="http://schemas.openxmlformats.org/spreadsheetml/2006/main">
  <numFmts count="6">
    <numFmt numFmtId="164" formatCode="yyyy-mm-dd"/>
    <numFmt numFmtId="165" formatCode="dd mmm yyyy"/>
    <numFmt numFmtId="166" formatCode="0.0%;(0.0%);&quot;-&quot;"/>
    <numFmt numFmtId="167" formatCode="mmm yy"/>
    <numFmt numFmtId="168" formatCode="#,##0;(#,##0);&quot;-&quot;"/>
    <numFmt numFmtId="169" formatCode="mmmm yyyy"/>
  </numFmts>
  <fonts count="17">
    <font>
      <name val="Calibri"/>
      <family val="2"/>
      <color theme="1"/>
      <sz val="11"/>
      <scheme val="minor"/>
    </font>
    <font>
      <name val="Arial"/>
      <b val="1"/>
      <color rgb="00CC1923"/>
      <sz val="18"/>
    </font>
    <font>
      <name val="Arial"/>
      <b val="1"/>
      <color rgb="00111111"/>
      <sz val="11"/>
    </font>
    <font>
      <name val="Arial"/>
      <i val="1"/>
      <color rgb="00666666"/>
      <sz val="10"/>
    </font>
    <font>
      <name val="Arial"/>
      <b val="1"/>
      <color rgb="00FFFFFF"/>
    </font>
    <font>
      <name val="Arial"/>
      <b val="1"/>
    </font>
    <font>
      <name val="Arial"/>
    </font>
    <font>
      <name val="Arial"/>
      <color rgb="000000FF"/>
    </font>
    <font>
      <name val="Arial"/>
      <b val="1"/>
      <color rgb="001E7B34"/>
    </font>
    <font>
      <name val="Arial"/>
      <b val="1"/>
      <color rgb="00CC1923"/>
    </font>
    <font>
      <name val="Arial"/>
      <color rgb="00666666"/>
      <sz val="9"/>
    </font>
    <font>
      <name val="Arial"/>
      <i val="1"/>
      <color rgb="00666666"/>
      <sz val="9"/>
    </font>
    <font>
      <name val="Arial"/>
      <b val="1"/>
      <color rgb="00CC1923"/>
      <sz val="9"/>
    </font>
    <font>
      <name val="Arial"/>
      <b val="1"/>
      <color rgb="00CC1923"/>
      <sz val="16"/>
    </font>
    <font>
      <name val="Arial"/>
      <i val="1"/>
    </font>
    <font>
      <name val="Arial"/>
      <b val="1"/>
      <color rgb="00CC1923"/>
      <sz val="12"/>
    </font>
    <font>
      <name val="Arial"/>
      <b val="1"/>
      <color rgb="00666666"/>
    </font>
  </fonts>
  <fills count="5">
    <fill>
      <patternFill/>
    </fill>
    <fill>
      <patternFill patternType="gray125"/>
    </fill>
    <fill>
      <patternFill patternType="solid">
        <fgColor rgb="00111111"/>
      </patternFill>
    </fill>
    <fill>
      <patternFill patternType="solid">
        <fgColor rgb="00FFFF99"/>
      </patternFill>
    </fill>
    <fill>
      <patternFill patternType="solid">
        <fgColor rgb="00F0EEEA"/>
      </patternFill>
    </fill>
  </fills>
  <borders count="4">
    <border>
      <left/>
      <right/>
      <top/>
      <bottom/>
      <diagonal/>
    </border>
    <border>
      <bottom style="thin">
        <color rgb="00BFBFBF"/>
      </bottom>
    </border>
    <border>
      <top style="thin">
        <color rgb="00111111"/>
      </top>
      <bottom style="thin">
        <color rgb="00BFBFBF"/>
      </bottom>
    </border>
    <border>
      <left/>
      <right/>
      <top/>
      <bottom style="thin">
        <color rgb="00BFBFBF"/>
      </bottom>
      <diagonal/>
    </border>
  </borders>
  <cellStyleXfs count="1">
    <xf numFmtId="0" fontId="0" fillId="0" borderId="0"/>
  </cellStyleXfs>
  <cellXfs count="5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7" fillId="3" borderId="0" applyAlignment="1" pivotButton="0" quotePrefix="0" xfId="0">
      <alignment horizontal="center"/>
    </xf>
    <xf numFmtId="0" fontId="6" fillId="0" borderId="0" pivotButton="0" quotePrefix="0" xfId="0"/>
    <xf numFmtId="0" fontId="6" fillId="0" borderId="0" applyAlignment="1" pivotButton="0" quotePrefix="0" xfId="0">
      <alignment horizontal="center"/>
    </xf>
    <xf numFmtId="0" fontId="8" fillId="0" borderId="0" applyAlignment="1" pivotButton="0" quotePrefix="0" xfId="0">
      <alignment horizontal="center"/>
    </xf>
    <xf numFmtId="0" fontId="9" fillId="0" borderId="0" applyAlignment="1" pivotButton="0" quotePrefix="0" xfId="0">
      <alignment horizontal="center"/>
    </xf>
    <xf numFmtId="0" fontId="6" fillId="0" borderId="1" applyAlignment="1" pivotButton="0" quotePrefix="0" xfId="0">
      <alignment vertical="top"/>
    </xf>
    <xf numFmtId="0" fontId="7" fillId="3" borderId="1" applyAlignment="1" pivotButton="0" quotePrefix="0" xfId="0">
      <alignment horizontal="left" vertical="top"/>
    </xf>
    <xf numFmtId="0" fontId="10" fillId="0" borderId="1" applyAlignment="1" pivotButton="0" quotePrefix="0" xfId="0">
      <alignment vertical="top" wrapText="1"/>
    </xf>
    <xf numFmtId="165" fontId="7" fillId="3" borderId="1" applyAlignment="1" pivotButton="0" quotePrefix="0" xfId="0">
      <alignment horizontal="left" vertical="top"/>
    </xf>
    <xf numFmtId="166" fontId="7" fillId="3" borderId="1" applyAlignment="1" pivotButton="0" quotePrefix="0" xfId="0">
      <alignment horizontal="left" vertical="top"/>
    </xf>
    <xf numFmtId="0" fontId="11" fillId="0" borderId="0" pivotButton="0" quotePrefix="0" xfId="0"/>
    <xf numFmtId="0" fontId="12" fillId="0" borderId="0" pivotButton="0" quotePrefix="0" xfId="0"/>
    <xf numFmtId="0" fontId="13" fillId="0" borderId="0" pivotButton="0" quotePrefix="0" xfId="0"/>
    <xf numFmtId="0" fontId="10" fillId="0" borderId="0" pivotButton="0" quotePrefix="0" xfId="0"/>
    <xf numFmtId="0" fontId="5" fillId="0" borderId="0" pivotButton="0" quotePrefix="0" xfId="0"/>
    <xf numFmtId="1" fontId="7" fillId="3" borderId="0" applyAlignment="1" pivotButton="0" quotePrefix="0" xfId="0">
      <alignment horizontal="center"/>
    </xf>
    <xf numFmtId="169" fontId="15" fillId="0" borderId="0" applyAlignment="1" pivotButton="0" quotePrefix="0" xfId="0">
      <alignment horizontal="left"/>
    </xf>
    <xf numFmtId="0" fontId="5" fillId="0" borderId="1" pivotButton="0" quotePrefix="0" xfId="0"/>
    <xf numFmtId="0" fontId="0" fillId="0" borderId="3" pivotButton="0" quotePrefix="0" xfId="0"/>
    <xf numFmtId="0" fontId="0" fillId="0" borderId="1" pivotButton="0" quotePrefix="0" xfId="0"/>
    <xf numFmtId="0" fontId="6" fillId="0" borderId="1" pivotButton="0" quotePrefix="0" xfId="0"/>
    <xf numFmtId="168" fontId="5" fillId="0" borderId="1" pivotButton="0" quotePrefix="0" xfId="0"/>
    <xf numFmtId="168" fontId="6" fillId="0" borderId="1" pivotButton="0" quotePrefix="0" xfId="0"/>
    <xf numFmtId="0" fontId="10" fillId="0" borderId="1" pivotButton="0" quotePrefix="0" xfId="0"/>
    <xf numFmtId="166" fontId="5" fillId="0" borderId="1" pivotButton="0" quotePrefix="0" xfId="0"/>
    <xf numFmtId="166" fontId="6" fillId="0" borderId="1" pivotButton="0" quotePrefix="0" xfId="0"/>
    <xf numFmtId="1" fontId="5" fillId="0" borderId="1" pivotButton="0" quotePrefix="0" xfId="0"/>
    <xf numFmtId="1" fontId="6" fillId="0" borderId="1" pivotButton="0" quotePrefix="0" xfId="0"/>
    <xf numFmtId="0" fontId="4" fillId="2" borderId="0" applyAlignment="1" pivotButton="0" quotePrefix="0" xfId="0">
      <alignment horizontal="left" vertical="center"/>
    </xf>
    <xf numFmtId="0" fontId="4" fillId="2" borderId="0" applyAlignment="1" pivotButton="0" quotePrefix="0" xfId="0">
      <alignment horizontal="center" vertical="center" wrapText="1"/>
    </xf>
    <xf numFmtId="0" fontId="16" fillId="0" borderId="0" applyAlignment="1" pivotButton="0" quotePrefix="0" xfId="0">
      <alignment horizontal="center" vertical="center" wrapText="1"/>
    </xf>
    <xf numFmtId="0" fontId="9" fillId="0" borderId="0" pivotButton="0" quotePrefix="0" xfId="0"/>
    <xf numFmtId="168" fontId="6" fillId="0" borderId="1" applyAlignment="1" pivotButton="0" quotePrefix="0" xfId="0">
      <alignment horizontal="right"/>
    </xf>
    <xf numFmtId="166" fontId="6" fillId="0" borderId="1" applyAlignment="1" pivotButton="0" quotePrefix="0" xfId="0">
      <alignment horizontal="right"/>
    </xf>
    <xf numFmtId="168" fontId="10" fillId="0" borderId="0" applyAlignment="1" pivotButton="0" quotePrefix="0" xfId="0">
      <alignment horizontal="right"/>
    </xf>
    <xf numFmtId="0" fontId="5" fillId="4" borderId="2" pivotButton="0" quotePrefix="0" xfId="0"/>
    <xf numFmtId="168" fontId="5" fillId="4" borderId="2" applyAlignment="1" pivotButton="0" quotePrefix="0" xfId="0">
      <alignment horizontal="right"/>
    </xf>
    <xf numFmtId="166" fontId="5" fillId="4" borderId="2" applyAlignment="1" pivotButton="0" quotePrefix="0" xfId="0">
      <alignment horizontal="right"/>
    </xf>
    <xf numFmtId="0" fontId="0" fillId="4" borderId="2" pivotButton="0" quotePrefix="0" xfId="0"/>
    <xf numFmtId="0" fontId="14" fillId="0" borderId="0" pivotButton="0" quotePrefix="0" xfId="0"/>
    <xf numFmtId="166" fontId="14" fillId="0" borderId="0" applyAlignment="1" pivotButton="0" quotePrefix="0" xfId="0">
      <alignment horizontal="right"/>
    </xf>
    <xf numFmtId="167" fontId="4" fillId="2" borderId="0" applyAlignment="1" pivotButton="0" quotePrefix="0" xfId="0">
      <alignment horizontal="center" vertical="center" wrapText="1"/>
    </xf>
    <xf numFmtId="0" fontId="10" fillId="0" borderId="0" applyAlignment="1" pivotButton="0" quotePrefix="0" xfId="0">
      <alignment horizontal="center"/>
    </xf>
    <xf numFmtId="168" fontId="7" fillId="3" borderId="1" pivotButton="0" quotePrefix="0" xfId="0"/>
    <xf numFmtId="168" fontId="5" fillId="4" borderId="2" pivotButton="0" quotePrefix="0" xfId="0"/>
    <xf numFmtId="166" fontId="14" fillId="0" borderId="0" pivotButton="0" quotePrefix="0" xfId="0"/>
    <xf numFmtId="168" fontId="10" fillId="0" borderId="0" pivotButton="0" quotePrefix="0" xfId="0"/>
  </cellXfs>
  <cellStyles count="1">
    <cellStyle name="Normal" xfId="0" builtinId="0" hidden="0"/>
  </cellStyles>
  <dxfs count="3">
    <dxf>
      <font>
        <name val="Arial"/>
        <b val="1"/>
        <color rgb="00CC1923"/>
      </font>
    </dxf>
    <dxf>
      <font>
        <name val="Arial"/>
        <color rgb="001E7B34"/>
      </font>
    </dxf>
    <dxf>
      <font>
        <name val="Arial"/>
        <b val="1"/>
        <color rgb="00FFFFFF"/>
      </font>
      <fill>
        <patternFill patternType="solid">
          <fgColor rgb="00CC192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0</row>
      <rowOff>0</rowOff>
    </from>
    <ext cx="95250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1:D32"/>
  <sheetViews>
    <sheetView showGridLines="0" workbookViewId="0">
      <selection activeCell="A1" sqref="A1"/>
    </sheetView>
  </sheetViews>
  <sheetFormatPr baseColWidth="8" defaultRowHeight="15"/>
  <cols>
    <col width="2" customWidth="1" min="1" max="1"/>
    <col width="34" customWidth="1" min="2" max="2"/>
    <col width="22" customWidth="1" min="3" max="3"/>
    <col width="62" customWidth="1" min="4" max="4"/>
    <col width="2" customWidth="1" min="5" max="5"/>
  </cols>
  <sheetData>
    <row r="1" ht="28" customHeight="1">
      <c r="B1" s="1" t="inlineStr">
        <is>
          <t>Monthly P&amp;L: Budget vs Actual</t>
        </is>
      </c>
    </row>
    <row r="2">
      <c r="B2" s="2" t="inlineStr">
        <is>
          <t>Axcell Financial Consulting</t>
        </is>
      </c>
    </row>
    <row r="3">
      <c r="B3" s="3" t="inlineStr">
        <is>
          <t>12 months, year to date, margins and variances in one workbook</t>
        </is>
      </c>
    </row>
    <row r="5">
      <c r="B5" s="4" t="inlineStr">
        <is>
          <t>How to use it (about 10 minutes)</t>
        </is>
      </c>
      <c r="C5" s="5" t="n"/>
      <c r="D5" s="5" t="n"/>
    </row>
    <row r="6" ht="30" customHeight="1">
      <c r="B6" s="6" t="inlineStr">
        <is>
          <t>Step 1</t>
        </is>
      </c>
      <c r="C6" s="7" t="inlineStr">
        <is>
          <t>Fill the yellow cells under 'Your settings' below: company name, currency and the first month of your financial year. Month headings update automatically.</t>
        </is>
      </c>
    </row>
    <row r="7" ht="30" customHeight="1">
      <c r="B7" s="6" t="inlineStr">
        <is>
          <t>Step 2</t>
        </is>
      </c>
      <c r="C7" s="7" t="inlineStr">
        <is>
          <t>On the 'Budget' sheet, enter your plan for each month (costs as positive numbers). Replace the example figures, or select the yellow cells and press Delete to start blank.</t>
        </is>
      </c>
    </row>
    <row r="8" ht="30" customHeight="1">
      <c r="B8" s="6" t="inlineStr">
        <is>
          <t>Step 3</t>
        </is>
      </c>
      <c r="C8" s="7" t="inlineStr">
        <is>
          <t>Each month, after closing your books, enter that month's actual figures on the 'Actual' sheet (same lines as the budget).</t>
        </is>
      </c>
    </row>
    <row r="9" ht="30" customHeight="1">
      <c r="B9" s="6" t="inlineStr">
        <is>
          <t>Step 4</t>
        </is>
      </c>
      <c r="C9" s="7" t="inlineStr">
        <is>
          <t>Open 'Budget vs Actual', choose the month to review (1 to 12), and read the 'What to look at' box first.</t>
        </is>
      </c>
    </row>
    <row r="10" ht="30" customHeight="1">
      <c r="B10" s="6" t="inlineStr">
        <is>
          <t>Step 5</t>
        </is>
      </c>
      <c r="C10" s="7" t="inlineStr">
        <is>
          <t>For each red (adverse) line, ask: why did it happen, who owns it, and what will change next month?</t>
        </is>
      </c>
    </row>
    <row r="12">
      <c r="B12" s="4" t="inlineStr">
        <is>
          <t>Colour legend</t>
        </is>
      </c>
      <c r="C12" s="5" t="n"/>
      <c r="D12" s="5" t="n"/>
    </row>
    <row r="13">
      <c r="B13" s="8" t="inlineStr">
        <is>
          <t>1,250</t>
        </is>
      </c>
      <c r="C13" s="9" t="inlineStr">
        <is>
          <t>Input: blue text on light-yellow. Type your own numbers here.</t>
        </is>
      </c>
    </row>
    <row r="14">
      <c r="B14" s="10" t="inlineStr">
        <is>
          <t>1,250</t>
        </is>
      </c>
      <c r="C14" s="9" t="inlineStr">
        <is>
          <t>Formula: black text. Calculated for you, do not overwrite.</t>
        </is>
      </c>
    </row>
    <row r="15">
      <c r="B15" s="10" t="inlineStr">
        <is>
          <t>(1,250)</t>
        </is>
      </c>
      <c r="C15" s="9" t="inlineStr">
        <is>
          <t>Brackets mean a negative number (a loss, an outflow or a shortfall).</t>
        </is>
      </c>
    </row>
    <row r="16">
      <c r="B16" s="11" t="inlineStr">
        <is>
          <t>Better</t>
        </is>
      </c>
      <c r="C16" s="7" t="inlineStr">
        <is>
          <t>Green variance = better than budget (more revenue or profit, or lower cost).</t>
        </is>
      </c>
    </row>
    <row r="17" ht="28" customHeight="1">
      <c r="B17" s="12" t="inlineStr">
        <is>
          <t>(Worse)</t>
        </is>
      </c>
      <c r="C17" s="7" t="inlineStr">
        <is>
          <t>Red variance = worse than budget. The sign rule is the same for revenue and costs: + is good, − is bad.</t>
        </is>
      </c>
    </row>
    <row r="19">
      <c r="B19" s="4" t="inlineStr">
        <is>
          <t>Your settings</t>
        </is>
      </c>
      <c r="C19" s="5" t="n"/>
      <c r="D19" s="5" t="n"/>
    </row>
    <row r="20">
      <c r="B20" s="13" t="inlineStr">
        <is>
          <t>Company name</t>
        </is>
      </c>
      <c r="C20" s="14" t="inlineStr">
        <is>
          <t>Example Trading Co.</t>
        </is>
      </c>
      <c r="D20" s="15" t="inlineStr">
        <is>
          <t>Shown on the review sheet.</t>
        </is>
      </c>
    </row>
    <row r="21" ht="26" customHeight="1">
      <c r="B21" s="13" t="inlineStr">
        <is>
          <t>Currency</t>
        </is>
      </c>
      <c r="C21" s="14" t="inlineStr">
        <is>
          <t>Your currency</t>
        </is>
      </c>
      <c r="D21" s="15" t="inlineStr">
        <is>
          <t>Type your currency code, e.g. SAR, AED, EGP, USD. Labels only; no conversion.</t>
        </is>
      </c>
    </row>
    <row r="22" ht="26" customHeight="1">
      <c r="B22" s="13" t="inlineStr">
        <is>
          <t>First month of financial year</t>
        </is>
      </c>
      <c r="C22" s="16" t="n">
        <v>46023</v>
      </c>
      <c r="D22" s="15" t="inlineStr">
        <is>
          <t>Enter the 1st day of the month your financial year starts, e.g. 01 Jan 2026.</t>
        </is>
      </c>
    </row>
    <row r="23" ht="26" customHeight="1">
      <c r="B23" s="13" t="inlineStr">
        <is>
          <t>Margin alert threshold</t>
        </is>
      </c>
      <c r="C23" s="17" t="n">
        <v>0.01</v>
      </c>
      <c r="D23" s="15" t="inlineStr">
        <is>
          <t>How big a change in a margin % (in percentage points) should trigger an alert. Example: 1% = one point.</t>
        </is>
      </c>
    </row>
    <row r="25">
      <c r="B25" s="4" t="inlineStr">
        <is>
          <t>Good to know</t>
        </is>
      </c>
      <c r="C25" s="5" t="n"/>
      <c r="D25" s="5" t="n"/>
    </row>
    <row r="26" ht="30" customHeight="1">
      <c r="B26" s="7" t="inlineStr">
        <is>
          <t>• Enter all revenue and all costs as positive numbers. The sheets subtract costs for you, so you never type a minus sign (except for a credit note or reversal).</t>
        </is>
      </c>
    </row>
    <row r="27" ht="30" customHeight="1">
      <c r="B27" s="7" t="inlineStr">
        <is>
          <t>• Year to date (YTD) = month 1 of your financial year up to the month you choose on 'Budget vs Actual'.</t>
        </is>
      </c>
    </row>
    <row r="28" ht="30" customHeight="1">
      <c r="B28" s="7" t="inlineStr">
        <is>
          <t>• Gross margin % = gross profit ÷ revenue. Net margin % = net profit ÷ revenue. A falling gross margin usually points to prices, discounts or purchase costs.</t>
        </is>
      </c>
    </row>
    <row r="29" ht="30" customHeight="1">
      <c r="B29" s="7" t="inlineStr">
        <is>
          <t>• Rename lines to suit your business (type over the label on BOTH the Budget and Actual sheets). Do not insert or delete rows, or the formulas will no longer line up.</t>
        </is>
      </c>
    </row>
    <row r="31">
      <c r="B31" s="18" t="inlineStr">
        <is>
          <t>Illustrative tool for decision support, not financial, tax or legal advice. The example figures are made up for illustration.</t>
        </is>
      </c>
    </row>
    <row r="32">
      <c r="B32" s="19" t="inlineStr">
        <is>
          <t>axcellservice.com · Free template · Book a free 30-minute consultation: axcellservice.com/contact</t>
        </is>
      </c>
    </row>
  </sheetData>
  <mergeCells count="15">
    <mergeCell ref="B28:D28"/>
    <mergeCell ref="C6:D6"/>
    <mergeCell ref="C10:D10"/>
    <mergeCell ref="C7:D7"/>
    <mergeCell ref="C16:D16"/>
    <mergeCell ref="C15:D15"/>
    <mergeCell ref="B31:D31"/>
    <mergeCell ref="B26:D26"/>
    <mergeCell ref="B27:D27"/>
    <mergeCell ref="C14:D14"/>
    <mergeCell ref="C13:D13"/>
    <mergeCell ref="C9:D9"/>
    <mergeCell ref="B29:D29"/>
    <mergeCell ref="C17:D17"/>
    <mergeCell ref="C8:D8"/>
  </mergeCells>
  <dataValidations count="2">
    <dataValidation sqref="C22" showDropDown="0" showInputMessage="0" showErrorMessage="1" allowBlank="0" errorTitle="Date needed" error="Enter the first day of your financial year as a date, e.g. 01/01/2026." type="date" operator="greaterThan">
      <formula1>36526</formula1>
    </dataValidation>
    <dataValidation sqref="C23" showDropDown="0" showInputMessage="0" showErrorMessage="1" allowBlank="0" error="Enter a percentage between 0% and 20%, e.g. 2%." type="decimal" operator="between">
      <formula1>0</formula1>
      <formula2>0.2</formula2>
    </dataValidation>
  </dataValidation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1:O51"/>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 customWidth="1" min="1" max="1"/>
    <col width="42" customWidth="1" min="2" max="2"/>
    <col width="14" customWidth="1" min="3" max="3"/>
    <col width="14" customWidth="1" min="4" max="4"/>
    <col width="16" customWidth="1" min="5" max="5"/>
    <col width="11" customWidth="1" min="6" max="6"/>
    <col width="14" customWidth="1" min="7" max="7"/>
    <col width="14" customWidth="1" min="8" max="8"/>
    <col width="2" customWidth="1" min="9" max="9"/>
    <col width="14" customWidth="1" min="10" max="10"/>
    <col width="14" customWidth="1" min="11" max="11"/>
    <col width="15" customWidth="1" min="12" max="12"/>
    <col width="11" customWidth="1" min="13" max="13"/>
    <col hidden="1" width="10" customWidth="1" min="14" max="14"/>
    <col hidden="1" width="10" customWidth="1" min="15" max="15"/>
  </cols>
  <sheetData>
    <row r="1" ht="26" customHeight="1">
      <c r="B1" s="20" t="inlineStr">
        <is>
          <t>Monthly P&amp;L review: budget vs actual</t>
        </is>
      </c>
    </row>
    <row r="2">
      <c r="B2" s="21" t="inlineStr">
        <is>
          <t>Axcell Financial Consulting · Monthly P&amp;L template</t>
        </is>
      </c>
    </row>
    <row r="3">
      <c r="B3" s="18" t="str">
        <f>IF('Start here'!$C$20="","",'Start here'!$C$20&amp;" · ")&amp;"Amounts in "&amp;'Start here'!$C$21</f>
        <v>Example Trading Co. · Amounts in Your currency</v>
      </c>
    </row>
    <row r="4" ht="20" customHeight="1">
      <c r="B4" s="22" t="inlineStr">
        <is>
          <t>Month to review (1–12)</t>
        </is>
      </c>
      <c r="C4" s="23" t="n">
        <v>10</v>
      </c>
      <c r="D4" s="24">
        <f>INDEX(Actual!$C$5:$N$5,$C$4)</f>
        <v>46296</v>
      </c>
      <c r="F4" s="21" t="inlineStr">
        <is>
          <t>Pick the last month you have closed. YTD covers month 1 to this month.</t>
        </is>
      </c>
    </row>
    <row r="6">
      <c r="B6" s="4" t="inlineStr">
        <is>
          <t>WHAT TO LOOK AT THIS MONTH</t>
        </is>
      </c>
      <c r="C6" s="5" t="n"/>
      <c r="D6" s="5" t="n"/>
      <c r="E6" s="5" t="n"/>
      <c r="F6" s="5" t="n"/>
      <c r="G6" s="5" t="n"/>
      <c r="H6" s="5" t="n"/>
      <c r="I6" s="5" t="n"/>
      <c r="J6" s="5" t="n"/>
      <c r="K6" s="5" t="n"/>
      <c r="L6" s="5" t="n"/>
      <c r="M6" s="5" t="n"/>
    </row>
    <row r="7">
      <c r="B7" s="25" t="inlineStr">
        <is>
          <t>Signal</t>
        </is>
      </c>
      <c r="C7" s="25" t="inlineStr">
        <is>
          <t>Value</t>
        </is>
      </c>
      <c r="D7" s="25" t="inlineStr">
        <is>
          <t>Compare with</t>
        </is>
      </c>
      <c r="E7" s="26" t="n"/>
      <c r="F7" s="25" t="inlineStr">
        <is>
          <t>What it tells you</t>
        </is>
      </c>
      <c r="G7" s="27" t="n"/>
      <c r="H7" s="27" t="n"/>
      <c r="I7" s="27" t="n"/>
      <c r="J7" s="27" t="n"/>
      <c r="K7" s="27" t="n"/>
      <c r="L7" s="27" t="n"/>
      <c r="M7" s="27" t="n"/>
    </row>
    <row r="8">
      <c r="B8" s="28" t="inlineStr">
        <is>
          <t>Revenue this month</t>
        </is>
      </c>
      <c r="C8" s="29">
        <f>C23</f>
        <v>808100</v>
      </c>
      <c r="D8" s="30">
        <f>D23</f>
        <v>869000</v>
      </c>
      <c r="E8" s="31" t="inlineStr">
        <is>
          <t>Budget</t>
        </is>
      </c>
      <c r="F8" s="25" t="str">
        <f>IF(D8=0,"No budget entered for this month",IF(C8&gt;=D8,"On or above budget","Below budget: see which revenue line fell short in the table below"))</f>
        <v>Below budget: see which revenue line fell short in the table below</v>
      </c>
      <c r="G8" s="27" t="n"/>
      <c r="H8" s="27" t="n"/>
      <c r="I8" s="27" t="n"/>
      <c r="J8" s="27" t="n"/>
      <c r="K8" s="27" t="n"/>
      <c r="L8" s="27" t="n"/>
      <c r="M8" s="27" t="n"/>
    </row>
    <row r="9">
      <c r="B9" s="28" t="inlineStr">
        <is>
          <t>Gross margin % this month</t>
        </is>
      </c>
      <c r="C9" s="32">
        <f>C30</f>
        <v>0.544858309615147</v>
      </c>
      <c r="D9" s="33">
        <f>IF($C$4=1,0,IF(SUMIFS(Actual!$C$11:$N$11,Actual!$C$6:$N$6,"&gt;="&amp;MAX(1,$C$4-3),Actual!$C$6:$N$6,"&lt;="&amp;$C$4-1)=0,0,SUMIFS(Actual!$C$17:$N$17,Actual!$C$6:$N$6,"&gt;="&amp;MAX(1,$C$4-3),Actual!$C$6:$N$6,"&lt;="&amp;$C$4-1)/SUMIFS(Actual!$C$11:$N$11,Actual!$C$6:$N$6,"&gt;="&amp;MAX(1,$C$4-3),Actual!$C$6:$N$6,"&lt;="&amp;$C$4-1)))</f>
        <v>0.559653851610158</v>
      </c>
      <c r="E9" s="31" t="inlineStr">
        <is>
          <t>Prev. 3-month avg</t>
        </is>
      </c>
      <c r="F9" s="25" t="str">
        <f>IF($C$4=1,"First month of the year: no trend yet",IF(C9&lt;D9-'Start here'!$C$23,"Falling: check prices, discounts and purchase costs",IF(C9&gt;D9+'Start here'!$C$23,"Improving versus recent months","Stable versus recent months")))</f>
        <v>Falling: check prices, discounts and purchase costs</v>
      </c>
      <c r="G9" s="27" t="n"/>
      <c r="H9" s="27" t="n"/>
      <c r="I9" s="27" t="n"/>
      <c r="J9" s="27" t="n"/>
      <c r="K9" s="27" t="n"/>
      <c r="L9" s="27" t="n"/>
      <c r="M9" s="27" t="n"/>
    </row>
    <row r="10">
      <c r="B10" s="28" t="inlineStr">
        <is>
          <t>Gross margin % year to date</t>
        </is>
      </c>
      <c r="C10" s="32">
        <f>J30</f>
        <v>0.57328870993045</v>
      </c>
      <c r="D10" s="33">
        <f>K30</f>
        <v>0.585164835164835</v>
      </c>
      <c r="E10" s="31" t="inlineStr">
        <is>
          <t>Budget YTD</t>
        </is>
      </c>
      <c r="F10" s="25" t="str">
        <f>IF(C10&lt;D10-'Start here'!$C$23,"Below budget: margin is leaking somewhere in pricing or direct costs",IF(C10&gt;D10+'Start here'!$C$23,"Above budget","In line with budget"))</f>
        <v>Below budget: margin is leaking somewhere in pricing or direct costs</v>
      </c>
      <c r="G10" s="27" t="n"/>
      <c r="H10" s="27" t="n"/>
      <c r="I10" s="27" t="n"/>
      <c r="J10" s="27" t="n"/>
      <c r="K10" s="27" t="n"/>
      <c r="L10" s="27" t="n"/>
      <c r="M10" s="27" t="n"/>
    </row>
    <row r="11">
      <c r="B11" s="28" t="inlineStr">
        <is>
          <t>Net margin % year to date</t>
        </is>
      </c>
      <c r="C11" s="32">
        <f>J47</f>
        <v>0.0977487841865816</v>
      </c>
      <c r="D11" s="33">
        <f>K47</f>
        <v>0.136659851776131</v>
      </c>
      <c r="E11" s="31" t="inlineStr">
        <is>
          <t>Budget YTD</t>
        </is>
      </c>
      <c r="F11" s="25" t="str">
        <f>IF(J46&lt;0,"Loss-making year to date: act now",IF(C11&lt;D11-'Start here'!$C$23,"Below budget: check the adverse lines below",IF(C11&gt;D11+'Start here'!$C$23,"Above budget","In line with budget")))</f>
        <v>Below budget: check the adverse lines below</v>
      </c>
      <c r="G11" s="27" t="n"/>
      <c r="H11" s="27" t="n"/>
      <c r="I11" s="27" t="n"/>
      <c r="J11" s="27" t="n"/>
      <c r="K11" s="27" t="n"/>
      <c r="L11" s="27" t="n"/>
      <c r="M11" s="27" t="n"/>
    </row>
    <row r="12">
      <c r="B12" s="28" t="inlineStr">
        <is>
          <t>Biggest adverse variance, this month</t>
        </is>
      </c>
      <c r="C12" s="29">
        <f>MIN(0,MIN(N19:N47))</f>
        <v>-54400</v>
      </c>
      <c r="D12" s="27" t="n"/>
      <c r="E12" s="31" t="inlineStr"/>
      <c r="F12" s="25" t="str">
        <f>IF(C12&gt;=0,"No line is worse than budget this month",TRIM(INDEX($B$19:$B$47,MATCH(MIN(N19:N47),N19:N47,0))))</f>
        <v>Sales – products</v>
      </c>
      <c r="G12" s="27" t="n"/>
      <c r="H12" s="27" t="n"/>
      <c r="I12" s="27" t="n"/>
      <c r="J12" s="27" t="n"/>
      <c r="K12" s="27" t="n"/>
      <c r="L12" s="27" t="n"/>
      <c r="M12" s="27" t="n"/>
    </row>
    <row r="13">
      <c r="B13" s="28" t="inlineStr">
        <is>
          <t>Biggest adverse variance, year to date</t>
        </is>
      </c>
      <c r="C13" s="29">
        <f>MIN(0,MIN(O19:O47))</f>
        <v>-175700</v>
      </c>
      <c r="D13" s="27" t="n"/>
      <c r="E13" s="31" t="inlineStr"/>
      <c r="F13" s="25" t="str">
        <f>IF(C13&gt;=0,"No line is worse than budget year to date",TRIM(INDEX($B$19:$B$47,MATCH(MIN(O19:O47),O19:O47,0))))</f>
        <v>Sales – products</v>
      </c>
      <c r="G13" s="27" t="n"/>
      <c r="H13" s="27" t="n"/>
      <c r="I13" s="27" t="n"/>
      <c r="J13" s="27" t="n"/>
      <c r="K13" s="27" t="n"/>
      <c r="L13" s="27" t="n"/>
      <c r="M13" s="27" t="n"/>
    </row>
    <row r="14">
      <c r="B14" s="28" t="inlineStr">
        <is>
          <t>Biggest favourable variance, year to date</t>
        </is>
      </c>
      <c r="C14" s="29">
        <f>MAX(0,MAX(O19:O47))</f>
        <v>5100</v>
      </c>
      <c r="D14" s="27" t="n"/>
      <c r="E14" s="31" t="inlineStr"/>
      <c r="F14" s="25" t="str">
        <f>IF(C14&lt;=0,"No line is better than budget year to date",TRIM(INDEX($B$19:$B$47,MATCH(MAX(O19:O47),O19:O47,0))))</f>
        <v>Other direct costs</v>
      </c>
      <c r="G14" s="27" t="n"/>
      <c r="H14" s="27" t="n"/>
      <c r="I14" s="27" t="n"/>
      <c r="J14" s="27" t="n"/>
      <c r="K14" s="27" t="n"/>
      <c r="L14" s="27" t="n"/>
      <c r="M14" s="27" t="n"/>
    </row>
    <row r="15">
      <c r="B15" s="28" t="inlineStr">
        <is>
          <t>Loss-making months so far</t>
        </is>
      </c>
      <c r="C15" s="34">
        <f>COUNTIFS(Actual!$C$6:$N$6,"&lt;="&amp;$C$4,Actual!$C$34:$N$34,"&lt;0")</f>
        <v>0</v>
      </c>
      <c r="D15" s="35">
        <f>$C$4</f>
        <v>10</v>
      </c>
      <c r="E15" s="31" t="inlineStr">
        <is>
          <t>Months reviewed</t>
        </is>
      </c>
      <c r="F15" s="25" t="str">
        <f>IF(C15=0,"No loss-making months so far",C15&amp;" month(s) made a loss: look at what happened in those months")</f>
        <v>No loss-making months so far</v>
      </c>
      <c r="G15" s="27" t="n"/>
      <c r="H15" s="27" t="n"/>
      <c r="I15" s="27" t="n"/>
      <c r="J15" s="27" t="n"/>
      <c r="K15" s="27" t="n"/>
      <c r="L15" s="27" t="n"/>
      <c r="M15" s="27" t="n"/>
    </row>
    <row r="16">
      <c r="B16" s="18" t="inlineStr">
        <is>
          <t>Variance sign rule: + means better than budget, (−) means worse, for revenue AND costs. Signals look at individual lines, not totals. Tip: a cost can look favourable only because sales were lower, so also compare margins.</t>
        </is>
      </c>
    </row>
    <row r="17">
      <c r="B17" s="4" t="inlineStr">
        <is>
          <t>DETAIL</t>
        </is>
      </c>
      <c r="C17" s="5" t="n"/>
      <c r="D17" s="5" t="n"/>
      <c r="E17" s="5" t="n"/>
      <c r="F17" s="5" t="n"/>
      <c r="G17" s="5" t="n"/>
      <c r="H17" s="5" t="n"/>
      <c r="I17" s="5" t="n"/>
      <c r="J17" s="5" t="n"/>
      <c r="K17" s="5" t="n"/>
      <c r="L17" s="5" t="n"/>
      <c r="M17" s="5" t="n"/>
    </row>
    <row r="18" ht="42" customHeight="1">
      <c r="B18" s="36" t="inlineStr">
        <is>
          <t>Line item</t>
        </is>
      </c>
      <c r="C18" s="37" t="inlineStr">
        <is>
          <t>Actual
(month)</t>
        </is>
      </c>
      <c r="D18" s="37" t="inlineStr">
        <is>
          <t>Budget
(month)</t>
        </is>
      </c>
      <c r="E18" s="37" t="inlineStr">
        <is>
          <t>Variance
(+ better / − worse)</t>
        </is>
      </c>
      <c r="F18" s="37" t="inlineStr">
        <is>
          <t>Var %</t>
        </is>
      </c>
      <c r="G18" s="37" t="inlineStr">
        <is>
          <t>Actual
last month</t>
        </is>
      </c>
      <c r="H18" s="37" t="inlineStr">
        <is>
          <t>Change vs
last month</t>
        </is>
      </c>
      <c r="I18" s="5" t="n"/>
      <c r="J18" s="37" t="inlineStr">
        <is>
          <t>Actual
YTD</t>
        </is>
      </c>
      <c r="K18" s="37" t="inlineStr">
        <is>
          <t>Budget
YTD</t>
        </is>
      </c>
      <c r="L18" s="37" t="inlineStr">
        <is>
          <t>Variance YTD
(+ better / − worse)</t>
        </is>
      </c>
      <c r="M18" s="37" t="inlineStr">
        <is>
          <t>Var % YTD</t>
        </is>
      </c>
      <c r="N18" s="38" t="inlineStr">
        <is>
          <t>Helper:
month</t>
        </is>
      </c>
      <c r="O18" s="38" t="inlineStr">
        <is>
          <t>Helper:
YTD</t>
        </is>
      </c>
    </row>
    <row r="19">
      <c r="B19" s="39" t="inlineStr">
        <is>
          <t>REVENUE</t>
        </is>
      </c>
    </row>
    <row r="20">
      <c r="B20" s="28" t="inlineStr">
        <is>
          <t xml:space="preserve">  Sales – services</t>
        </is>
      </c>
      <c r="C20" s="40">
        <f>INDEX(Actual!$C$8:$N$8,$C$4)</f>
        <v>556000</v>
      </c>
      <c r="D20" s="40">
        <f>INDEX(Budget!$C$8:$N$8,$C$4)</f>
        <v>561600</v>
      </c>
      <c r="E20" s="40">
        <f>1*(C20-D20)</f>
        <v>-5600</v>
      </c>
      <c r="F20" s="41">
        <f>IF(D20=0,0,E20/ABS(D20))</f>
        <v>-0.00997150997150997</v>
      </c>
      <c r="G20" s="40">
        <f>IF($C$4=1,"n/a",INDEX(Actual!$C$8:$N$8,$C$4-1))</f>
        <v>514500</v>
      </c>
      <c r="H20" s="40">
        <f>IF($C$4=1,"n/a",C20-G20)</f>
        <v>41500</v>
      </c>
      <c r="I20" s="27" t="n"/>
      <c r="J20" s="40">
        <f>Actual!$O$8</f>
        <v>5056500</v>
      </c>
      <c r="K20" s="40">
        <f>Budget!$O$8</f>
        <v>5054400</v>
      </c>
      <c r="L20" s="40">
        <f>1*(J20-K20)</f>
        <v>2100</v>
      </c>
      <c r="M20" s="41">
        <f>IF(K20=0,0,L20/ABS(K20))</f>
        <v>0.000415479582146249</v>
      </c>
      <c r="N20" s="42">
        <f>E20</f>
        <v>-5600</v>
      </c>
      <c r="O20" s="42">
        <f>L20</f>
        <v>2100</v>
      </c>
    </row>
    <row r="21">
      <c r="B21" s="28" t="inlineStr">
        <is>
          <t xml:space="preserve">  Sales – products</t>
        </is>
      </c>
      <c r="C21" s="40">
        <f>INDEX(Actual!$C$9:$N$9,$C$4)</f>
        <v>248000</v>
      </c>
      <c r="D21" s="40">
        <f>INDEX(Budget!$C$9:$N$9,$C$4)</f>
        <v>302400</v>
      </c>
      <c r="E21" s="40">
        <f>1*(C21-D21)</f>
        <v>-54400</v>
      </c>
      <c r="F21" s="41">
        <f>IF(D21=0,0,E21/ABS(D21))</f>
        <v>-0.17989417989418</v>
      </c>
      <c r="G21" s="40">
        <f>IF($C$4=1,"n/a",INDEX(Actual!$C$9:$N$9,$C$4-1))</f>
        <v>239900</v>
      </c>
      <c r="H21" s="40">
        <f>IF($C$4=1,"n/a",C21-G21)</f>
        <v>8100</v>
      </c>
      <c r="I21" s="27" t="n"/>
      <c r="J21" s="40">
        <f>Actual!$O$9</f>
        <v>2545900</v>
      </c>
      <c r="K21" s="40">
        <f>Budget!$O$9</f>
        <v>2721600</v>
      </c>
      <c r="L21" s="40">
        <f>1*(J21-K21)</f>
        <v>-175700</v>
      </c>
      <c r="M21" s="41">
        <f>IF(K21=0,0,L21/ABS(K21))</f>
        <v>-0.0645576131687243</v>
      </c>
      <c r="N21" s="42">
        <f>E21</f>
        <v>-54400</v>
      </c>
      <c r="O21" s="42">
        <f>L21</f>
        <v>-175700</v>
      </c>
    </row>
    <row r="22">
      <c r="B22" s="28" t="inlineStr">
        <is>
          <t xml:space="preserve">  Other revenue</t>
        </is>
      </c>
      <c r="C22" s="40">
        <f>INDEX(Actual!$C$10:$N$10,$C$4)</f>
        <v>4100</v>
      </c>
      <c r="D22" s="40">
        <f>INDEX(Budget!$C$10:$N$10,$C$4)</f>
        <v>5000</v>
      </c>
      <c r="E22" s="40">
        <f>1*(C22-D22)</f>
        <v>-900</v>
      </c>
      <c r="F22" s="41">
        <f>IF(D22=0,0,E22/ABS(D22))</f>
        <v>-0.18</v>
      </c>
      <c r="G22" s="40">
        <f>IF($C$4=1,"n/a",INDEX(Actual!$C$10:$N$10,$C$4-1))</f>
        <v>6600</v>
      </c>
      <c r="H22" s="40">
        <f>IF($C$4=1,"n/a",C22-G22)</f>
        <v>-2500</v>
      </c>
      <c r="I22" s="27" t="n"/>
      <c r="J22" s="40">
        <f>Actual!$O$10</f>
        <v>46800</v>
      </c>
      <c r="K22" s="40">
        <f>Budget!$O$10</f>
        <v>50000</v>
      </c>
      <c r="L22" s="40">
        <f>1*(J22-K22)</f>
        <v>-3200</v>
      </c>
      <c r="M22" s="41">
        <f>IF(K22=0,0,L22/ABS(K22))</f>
        <v>-0.064</v>
      </c>
      <c r="N22" s="42">
        <f>E22</f>
        <v>-900</v>
      </c>
      <c r="O22" s="42">
        <f>L22</f>
        <v>-3200</v>
      </c>
    </row>
    <row r="23">
      <c r="B23" s="43" t="inlineStr">
        <is>
          <t>Total revenue</t>
        </is>
      </c>
      <c r="C23" s="44">
        <f>INDEX(Actual!$C$11:$N$11,$C$4)</f>
        <v>808100</v>
      </c>
      <c r="D23" s="44">
        <f>INDEX(Budget!$C$11:$N$11,$C$4)</f>
        <v>869000</v>
      </c>
      <c r="E23" s="44">
        <f>1*(C23-D23)</f>
        <v>-60900</v>
      </c>
      <c r="F23" s="45">
        <f>IF(D23=0,0,E23/ABS(D23))</f>
        <v>-0.0700805523590334</v>
      </c>
      <c r="G23" s="44">
        <f>IF($C$4=1,"n/a",INDEX(Actual!$C$11:$N$11,$C$4-1))</f>
        <v>761000</v>
      </c>
      <c r="H23" s="44">
        <f>IF($C$4=1,"n/a",C23-G23)</f>
        <v>47100</v>
      </c>
      <c r="I23" s="46" t="n"/>
      <c r="J23" s="44">
        <f>Actual!$O$11</f>
        <v>7649200</v>
      </c>
      <c r="K23" s="44">
        <f>Budget!$O$11</f>
        <v>7826000</v>
      </c>
      <c r="L23" s="44">
        <f>1*(J23-K23)</f>
        <v>-176800</v>
      </c>
      <c r="M23" s="45">
        <f>IF(K23=0,0,L23/ABS(K23))</f>
        <v>-0.0225913621262458</v>
      </c>
    </row>
    <row r="24">
      <c r="B24" s="39" t="inlineStr">
        <is>
          <t>COST OF SALES</t>
        </is>
      </c>
    </row>
    <row r="25">
      <c r="B25" s="28" t="inlineStr">
        <is>
          <t xml:space="preserve">  Direct materials / purchases</t>
        </is>
      </c>
      <c r="C25" s="40">
        <f>INDEX(Actual!$C$13:$N$13,$C$4)</f>
        <v>173600</v>
      </c>
      <c r="D25" s="40">
        <f>INDEX(Budget!$C$13:$N$13,$C$4)</f>
        <v>166300</v>
      </c>
      <c r="E25" s="40">
        <f>-1*(C25-D25)</f>
        <v>-7300</v>
      </c>
      <c r="F25" s="41">
        <f>IF(D25=0,0,E25/ABS(D25))</f>
        <v>-0.0438965724594107</v>
      </c>
      <c r="G25" s="40">
        <f>IF($C$4=1,"n/a",INDEX(Actual!$C$13:$N$13,$C$4-1))</f>
        <v>163100</v>
      </c>
      <c r="H25" s="40">
        <f>IF($C$4=1,"n/a",C25-G25)</f>
        <v>10500</v>
      </c>
      <c r="I25" s="27" t="n"/>
      <c r="J25" s="40">
        <f>Actual!$O$13</f>
        <v>1507000</v>
      </c>
      <c r="K25" s="40">
        <f>Budget!$O$13</f>
        <v>1496900</v>
      </c>
      <c r="L25" s="40">
        <f>-1*(J25-K25)</f>
        <v>-10100</v>
      </c>
      <c r="M25" s="41">
        <f>IF(K25=0,0,L25/ABS(K25))</f>
        <v>-0.00674727770726167</v>
      </c>
      <c r="N25" s="42">
        <f>E25</f>
        <v>-7300</v>
      </c>
      <c r="O25" s="42">
        <f>L25</f>
        <v>-10100</v>
      </c>
    </row>
    <row r="26">
      <c r="B26" s="28" t="inlineStr">
        <is>
          <t xml:space="preserve">  Direct labour</t>
        </is>
      </c>
      <c r="C26" s="40">
        <f>INDEX(Actual!$C$14:$N$14,$C$4)</f>
        <v>170100</v>
      </c>
      <c r="D26" s="40">
        <f>INDEX(Budget!$C$14:$N$14,$C$4)</f>
        <v>168500</v>
      </c>
      <c r="E26" s="40">
        <f>-1*(C26-D26)</f>
        <v>-1600</v>
      </c>
      <c r="F26" s="41">
        <f>IF(D26=0,0,E26/ABS(D26))</f>
        <v>-0.00949554896142433</v>
      </c>
      <c r="G26" s="40">
        <f>IF($C$4=1,"n/a",INDEX(Actual!$C$14:$N$14,$C$4-1))</f>
        <v>157400</v>
      </c>
      <c r="H26" s="40">
        <f>IF($C$4=1,"n/a",C26-G26)</f>
        <v>12700</v>
      </c>
      <c r="I26" s="27" t="n"/>
      <c r="J26" s="40">
        <f>Actual!$O$14</f>
        <v>1528800</v>
      </c>
      <c r="K26" s="40">
        <f>Budget!$O$14</f>
        <v>1516300</v>
      </c>
      <c r="L26" s="40">
        <f>-1*(J26-K26)</f>
        <v>-12500</v>
      </c>
      <c r="M26" s="41">
        <f>IF(K26=0,0,L26/ABS(K26))</f>
        <v>-0.00824375123656269</v>
      </c>
      <c r="N26" s="42">
        <f>E26</f>
        <v>-1600</v>
      </c>
      <c r="O26" s="42">
        <f>L26</f>
        <v>-12500</v>
      </c>
    </row>
    <row r="27">
      <c r="B27" s="28" t="inlineStr">
        <is>
          <t xml:space="preserve">  Other direct costs</t>
        </is>
      </c>
      <c r="C27" s="40">
        <f>INDEX(Actual!$C$15:$N$15,$C$4)</f>
        <v>24100</v>
      </c>
      <c r="D27" s="40">
        <f>INDEX(Budget!$C$15:$N$15,$C$4)</f>
        <v>25900</v>
      </c>
      <c r="E27" s="40">
        <f>-1*(C27-D27)</f>
        <v>1800</v>
      </c>
      <c r="F27" s="41">
        <f>IF(D27=0,0,E27/ABS(D27))</f>
        <v>0.0694980694980695</v>
      </c>
      <c r="G27" s="40">
        <f>IF($C$4=1,"n/a",INDEX(Actual!$C$15:$N$15,$C$4-1))</f>
        <v>22600</v>
      </c>
      <c r="H27" s="40">
        <f>IF($C$4=1,"n/a",C27-G27)</f>
        <v>1500</v>
      </c>
      <c r="I27" s="27" t="n"/>
      <c r="J27" s="40">
        <f>Actual!$O$15</f>
        <v>228200</v>
      </c>
      <c r="K27" s="40">
        <f>Budget!$O$15</f>
        <v>233300</v>
      </c>
      <c r="L27" s="40">
        <f>-1*(J27-K27)</f>
        <v>5100</v>
      </c>
      <c r="M27" s="41">
        <f>IF(K27=0,0,L27/ABS(K27))</f>
        <v>0.0218602657522503</v>
      </c>
      <c r="N27" s="42">
        <f>E27</f>
        <v>1800</v>
      </c>
      <c r="O27" s="42">
        <f>L27</f>
        <v>5100</v>
      </c>
    </row>
    <row r="28">
      <c r="B28" s="43" t="inlineStr">
        <is>
          <t>Total cost of sales</t>
        </is>
      </c>
      <c r="C28" s="44">
        <f>INDEX(Actual!$C$16:$N$16,$C$4)</f>
        <v>367800</v>
      </c>
      <c r="D28" s="44">
        <f>INDEX(Budget!$C$16:$N$16,$C$4)</f>
        <v>360700</v>
      </c>
      <c r="E28" s="44">
        <f>-1*(C28-D28)</f>
        <v>-7100</v>
      </c>
      <c r="F28" s="45">
        <f>IF(D28=0,0,E28/ABS(D28))</f>
        <v>-0.0196839478791239</v>
      </c>
      <c r="G28" s="44">
        <f>IF($C$4=1,"n/a",INDEX(Actual!$C$16:$N$16,$C$4-1))</f>
        <v>343100</v>
      </c>
      <c r="H28" s="44">
        <f>IF($C$4=1,"n/a",C28-G28)</f>
        <v>24700</v>
      </c>
      <c r="I28" s="46" t="n"/>
      <c r="J28" s="44">
        <f>Actual!$O$16</f>
        <v>3264000</v>
      </c>
      <c r="K28" s="44">
        <f>Budget!$O$16</f>
        <v>3246500</v>
      </c>
      <c r="L28" s="44">
        <f>-1*(J28-K28)</f>
        <v>-17500</v>
      </c>
      <c r="M28" s="45">
        <f>IF(K28=0,0,L28/ABS(K28))</f>
        <v>-0.00539042045279532</v>
      </c>
    </row>
    <row r="29">
      <c r="B29" s="43" t="inlineStr">
        <is>
          <t>GROSS PROFIT</t>
        </is>
      </c>
      <c r="C29" s="44">
        <f>INDEX(Actual!$C$17:$N$17,$C$4)</f>
        <v>440300</v>
      </c>
      <c r="D29" s="44">
        <f>INDEX(Budget!$C$17:$N$17,$C$4)</f>
        <v>508300</v>
      </c>
      <c r="E29" s="44">
        <f>1*(C29-D29)</f>
        <v>-68000</v>
      </c>
      <c r="F29" s="45">
        <f>IF(D29=0,0,E29/ABS(D29))</f>
        <v>-0.133779264214047</v>
      </c>
      <c r="G29" s="44">
        <f>IF($C$4=1,"n/a",INDEX(Actual!$C$17:$N$17,$C$4-1))</f>
        <v>417900</v>
      </c>
      <c r="H29" s="44">
        <f>IF($C$4=1,"n/a",C29-G29)</f>
        <v>22400</v>
      </c>
      <c r="I29" s="46" t="n"/>
      <c r="J29" s="44">
        <f>Actual!$O$17</f>
        <v>4385200</v>
      </c>
      <c r="K29" s="44">
        <f>Budget!$O$17</f>
        <v>4579500</v>
      </c>
      <c r="L29" s="44">
        <f>1*(J29-K29)</f>
        <v>-194300</v>
      </c>
      <c r="M29" s="45">
        <f>IF(K29=0,0,L29/ABS(K29))</f>
        <v>-0.0424282126869746</v>
      </c>
    </row>
    <row r="30">
      <c r="B30" s="47" t="inlineStr">
        <is>
          <t xml:space="preserve">  Gross margin %</t>
        </is>
      </c>
      <c r="C30" s="48">
        <f>IF(C23=0,0,C29/C23)</f>
        <v>0.544858309615147</v>
      </c>
      <c r="D30" s="48">
        <f>IF(D23=0,0,D29/D23)</f>
        <v>0.584925201380898</v>
      </c>
      <c r="E30" s="48">
        <f>C30-D30</f>
        <v>-0.040066891765751</v>
      </c>
      <c r="G30" s="48">
        <f>IF($C$4=1,"n/a",IF(G23=0,0,G29/G23))</f>
        <v>0.549145860709593</v>
      </c>
      <c r="H30" s="48">
        <f>IF($C$4=1,"n/a",C30-G30)</f>
        <v>-0.00428755109444601</v>
      </c>
      <c r="J30" s="48">
        <f>IF(J23=0,0,J29/J23)</f>
        <v>0.57328870993045</v>
      </c>
      <c r="K30" s="48">
        <f>IF(K23=0,0,K29/K23)</f>
        <v>0.585164835164835</v>
      </c>
      <c r="L30" s="48">
        <f>J30-K30</f>
        <v>-0.011876125234385</v>
      </c>
    </row>
    <row r="31">
      <c r="B31" s="39" t="inlineStr">
        <is>
          <t>OPERATING EXPENSES</t>
        </is>
      </c>
    </row>
    <row r="32">
      <c r="B32" s="28" t="inlineStr">
        <is>
          <t xml:space="preserve">  Salaries and benefits</t>
        </is>
      </c>
      <c r="C32" s="40">
        <f>INDEX(Actual!$C$20:$N$20,$C$4)</f>
        <v>229500</v>
      </c>
      <c r="D32" s="40">
        <f>INDEX(Budget!$C$20:$N$20,$C$4)</f>
        <v>220000</v>
      </c>
      <c r="E32" s="40">
        <f>-1*(C32-D32)</f>
        <v>-9500</v>
      </c>
      <c r="F32" s="41">
        <f>IF(D32=0,0,E32/ABS(D32))</f>
        <v>-0.0431818181818182</v>
      </c>
      <c r="G32" s="40">
        <f>IF($C$4=1,"n/a",INDEX(Actual!$C$20:$N$20,$C$4-1))</f>
        <v>226000</v>
      </c>
      <c r="H32" s="40">
        <f>IF($C$4=1,"n/a",C32-G32)</f>
        <v>3500</v>
      </c>
      <c r="I32" s="27" t="n"/>
      <c r="J32" s="40">
        <f>Actual!$O$20</f>
        <v>2234500</v>
      </c>
      <c r="K32" s="40">
        <f>Budget!$O$20</f>
        <v>2200000</v>
      </c>
      <c r="L32" s="40">
        <f>-1*(J32-K32)</f>
        <v>-34500</v>
      </c>
      <c r="M32" s="41">
        <f>IF(K32=0,0,L32/ABS(K32))</f>
        <v>-0.0156818181818182</v>
      </c>
      <c r="N32" s="42">
        <f>E32</f>
        <v>-9500</v>
      </c>
      <c r="O32" s="42">
        <f>L32</f>
        <v>-34500</v>
      </c>
    </row>
    <row r="33">
      <c r="B33" s="28" t="inlineStr">
        <is>
          <t xml:space="preserve">  Rent</t>
        </is>
      </c>
      <c r="C33" s="40">
        <f>INDEX(Actual!$C$21:$N$21,$C$4)</f>
        <v>45000</v>
      </c>
      <c r="D33" s="40">
        <f>INDEX(Budget!$C$21:$N$21,$C$4)</f>
        <v>45000</v>
      </c>
      <c r="E33" s="40">
        <f>-1*(C33-D33)</f>
        <v>0</v>
      </c>
      <c r="F33" s="41">
        <f>IF(D33=0,0,E33/ABS(D33))</f>
        <v>0</v>
      </c>
      <c r="G33" s="40">
        <f>IF($C$4=1,"n/a",INDEX(Actual!$C$21:$N$21,$C$4-1))</f>
        <v>45000</v>
      </c>
      <c r="H33" s="40">
        <f>IF($C$4=1,"n/a",C33-G33)</f>
        <v>0</v>
      </c>
      <c r="I33" s="27" t="n"/>
      <c r="J33" s="40">
        <f>Actual!$O$21</f>
        <v>450000</v>
      </c>
      <c r="K33" s="40">
        <f>Budget!$O$21</f>
        <v>450000</v>
      </c>
      <c r="L33" s="40">
        <f>-1*(J33-K33)</f>
        <v>0</v>
      </c>
      <c r="M33" s="41">
        <f>IF(K33=0,0,L33/ABS(K33))</f>
        <v>0</v>
      </c>
      <c r="N33" s="42">
        <f>E33</f>
        <v>0</v>
      </c>
      <c r="O33" s="42">
        <f>L33</f>
        <v>0</v>
      </c>
    </row>
    <row r="34">
      <c r="B34" s="28" t="inlineStr">
        <is>
          <t xml:space="preserve">  Utilities</t>
        </is>
      </c>
      <c r="C34" s="40">
        <f>INDEX(Actual!$C$22:$N$22,$C$4)</f>
        <v>6200</v>
      </c>
      <c r="D34" s="40">
        <f>INDEX(Budget!$C$22:$N$22,$C$4)</f>
        <v>6000</v>
      </c>
      <c r="E34" s="40">
        <f>-1*(C34-D34)</f>
        <v>-200</v>
      </c>
      <c r="F34" s="41">
        <f>IF(D34=0,0,E34/ABS(D34))</f>
        <v>-0.0333333333333333</v>
      </c>
      <c r="G34" s="40">
        <f>IF($C$4=1,"n/a",INDEX(Actual!$C$22:$N$22,$C$4-1))</f>
        <v>7100</v>
      </c>
      <c r="H34" s="40">
        <f>IF($C$4=1,"n/a",C34-G34)</f>
        <v>-900</v>
      </c>
      <c r="I34" s="27" t="n"/>
      <c r="J34" s="40">
        <f>Actual!$O$22</f>
        <v>69600</v>
      </c>
      <c r="K34" s="40">
        <f>Budget!$O$22</f>
        <v>60000</v>
      </c>
      <c r="L34" s="40">
        <f>-1*(J34-K34)</f>
        <v>-9600</v>
      </c>
      <c r="M34" s="41">
        <f>IF(K34=0,0,L34/ABS(K34))</f>
        <v>-0.16</v>
      </c>
      <c r="N34" s="42">
        <f>E34</f>
        <v>-200</v>
      </c>
      <c r="O34" s="42">
        <f>L34</f>
        <v>-9600</v>
      </c>
    </row>
    <row r="35">
      <c r="B35" s="28" t="inlineStr">
        <is>
          <t xml:space="preserve">  Marketing</t>
        </is>
      </c>
      <c r="C35" s="40">
        <f>INDEX(Actual!$C$23:$N$23,$C$4)</f>
        <v>47000</v>
      </c>
      <c r="D35" s="40">
        <f>INDEX(Budget!$C$23:$N$23,$C$4)</f>
        <v>30000</v>
      </c>
      <c r="E35" s="40">
        <f>-1*(C35-D35)</f>
        <v>-17000</v>
      </c>
      <c r="F35" s="41">
        <f>IF(D35=0,0,E35/ABS(D35))</f>
        <v>-0.566666666666667</v>
      </c>
      <c r="G35" s="40">
        <f>IF($C$4=1,"n/a",INDEX(Actual!$C$23:$N$23,$C$4-1))</f>
        <v>45500</v>
      </c>
      <c r="H35" s="40">
        <f>IF($C$4=1,"n/a",C35-G35)</f>
        <v>1500</v>
      </c>
      <c r="I35" s="27" t="n"/>
      <c r="J35" s="40">
        <f>Actual!$O$23</f>
        <v>375000</v>
      </c>
      <c r="K35" s="40">
        <f>Budget!$O$23</f>
        <v>300000</v>
      </c>
      <c r="L35" s="40">
        <f>-1*(J35-K35)</f>
        <v>-75000</v>
      </c>
      <c r="M35" s="41">
        <f>IF(K35=0,0,L35/ABS(K35))</f>
        <v>-0.25</v>
      </c>
      <c r="N35" s="42">
        <f>E35</f>
        <v>-17000</v>
      </c>
      <c r="O35" s="42">
        <f>L35</f>
        <v>-75000</v>
      </c>
    </row>
    <row r="36">
      <c r="B36" s="28" t="inlineStr">
        <is>
          <t xml:space="preserve">  Professional fees</t>
        </is>
      </c>
      <c r="C36" s="40">
        <f>INDEX(Actual!$C$24:$N$24,$C$4)</f>
        <v>7000</v>
      </c>
      <c r="D36" s="40">
        <f>INDEX(Budget!$C$24:$N$24,$C$4)</f>
        <v>8000</v>
      </c>
      <c r="E36" s="40">
        <f>-1*(C36-D36)</f>
        <v>1000</v>
      </c>
      <c r="F36" s="41">
        <f>IF(D36=0,0,E36/ABS(D36))</f>
        <v>0.125</v>
      </c>
      <c r="G36" s="40">
        <f>IF($C$4=1,"n/a",INDEX(Actual!$C$24:$N$24,$C$4-1))</f>
        <v>8000</v>
      </c>
      <c r="H36" s="40">
        <f>IF($C$4=1,"n/a",C36-G36)</f>
        <v>-1000</v>
      </c>
      <c r="I36" s="27" t="n"/>
      <c r="J36" s="40">
        <f>Actual!$O$24</f>
        <v>79500</v>
      </c>
      <c r="K36" s="40">
        <f>Budget!$O$24</f>
        <v>80000</v>
      </c>
      <c r="L36" s="40">
        <f>-1*(J36-K36)</f>
        <v>500</v>
      </c>
      <c r="M36" s="41">
        <f>IF(K36=0,0,L36/ABS(K36))</f>
        <v>0.00625</v>
      </c>
      <c r="N36" s="42">
        <f>E36</f>
        <v>1000</v>
      </c>
      <c r="O36" s="42">
        <f>L36</f>
        <v>500</v>
      </c>
    </row>
    <row r="37">
      <c r="B37" s="28" t="inlineStr">
        <is>
          <t xml:space="preserve">  Office and admin supplies</t>
        </is>
      </c>
      <c r="C37" s="40">
        <f>INDEX(Actual!$C$25:$N$25,$C$4)</f>
        <v>2900</v>
      </c>
      <c r="D37" s="40">
        <f>INDEX(Budget!$C$25:$N$25,$C$4)</f>
        <v>3000</v>
      </c>
      <c r="E37" s="40">
        <f>-1*(C37-D37)</f>
        <v>100</v>
      </c>
      <c r="F37" s="41">
        <f>IF(D37=0,0,E37/ABS(D37))</f>
        <v>0.0333333333333333</v>
      </c>
      <c r="G37" s="40">
        <f>IF($C$4=1,"n/a",INDEX(Actual!$C$25:$N$25,$C$4-1))</f>
        <v>3100</v>
      </c>
      <c r="H37" s="40">
        <f>IF($C$4=1,"n/a",C37-G37)</f>
        <v>-200</v>
      </c>
      <c r="I37" s="27" t="n"/>
      <c r="J37" s="40">
        <f>Actual!$O$25</f>
        <v>29800</v>
      </c>
      <c r="K37" s="40">
        <f>Budget!$O$25</f>
        <v>30000</v>
      </c>
      <c r="L37" s="40">
        <f>-1*(J37-K37)</f>
        <v>200</v>
      </c>
      <c r="M37" s="41">
        <f>IF(K37=0,0,L37/ABS(K37))</f>
        <v>0.00666666666666667</v>
      </c>
      <c r="N37" s="42">
        <f>E37</f>
        <v>100</v>
      </c>
      <c r="O37" s="42">
        <f>L37</f>
        <v>200</v>
      </c>
    </row>
    <row r="38">
      <c r="B38" s="28" t="inlineStr">
        <is>
          <t xml:space="preserve">  Insurance</t>
        </is>
      </c>
      <c r="C38" s="40">
        <f>INDEX(Actual!$C$26:$N$26,$C$4)</f>
        <v>4000</v>
      </c>
      <c r="D38" s="40">
        <f>INDEX(Budget!$C$26:$N$26,$C$4)</f>
        <v>4000</v>
      </c>
      <c r="E38" s="40">
        <f>-1*(C38-D38)</f>
        <v>0</v>
      </c>
      <c r="F38" s="41">
        <f>IF(D38=0,0,E38/ABS(D38))</f>
        <v>0</v>
      </c>
      <c r="G38" s="40">
        <f>IF($C$4=1,"n/a",INDEX(Actual!$C$26:$N$26,$C$4-1))</f>
        <v>4000</v>
      </c>
      <c r="H38" s="40">
        <f>IF($C$4=1,"n/a",C38-G38)</f>
        <v>0</v>
      </c>
      <c r="I38" s="27" t="n"/>
      <c r="J38" s="40">
        <f>Actual!$O$26</f>
        <v>40000</v>
      </c>
      <c r="K38" s="40">
        <f>Budget!$O$26</f>
        <v>40000</v>
      </c>
      <c r="L38" s="40">
        <f>-1*(J38-K38)</f>
        <v>0</v>
      </c>
      <c r="M38" s="41">
        <f>IF(K38=0,0,L38/ABS(K38))</f>
        <v>0</v>
      </c>
      <c r="N38" s="42">
        <f>E38</f>
        <v>0</v>
      </c>
      <c r="O38" s="42">
        <f>L38</f>
        <v>0</v>
      </c>
    </row>
    <row r="39">
      <c r="B39" s="28" t="inlineStr">
        <is>
          <t xml:space="preserve">  Depreciation</t>
        </is>
      </c>
      <c r="C39" s="40">
        <f>INDEX(Actual!$C$27:$N$27,$C$4)</f>
        <v>12000</v>
      </c>
      <c r="D39" s="40">
        <f>INDEX(Budget!$C$27:$N$27,$C$4)</f>
        <v>12000</v>
      </c>
      <c r="E39" s="40">
        <f>-1*(C39-D39)</f>
        <v>0</v>
      </c>
      <c r="F39" s="41">
        <f>IF(D39=0,0,E39/ABS(D39))</f>
        <v>0</v>
      </c>
      <c r="G39" s="40">
        <f>IF($C$4=1,"n/a",INDEX(Actual!$C$27:$N$27,$C$4-1))</f>
        <v>12000</v>
      </c>
      <c r="H39" s="40">
        <f>IF($C$4=1,"n/a",C39-G39)</f>
        <v>0</v>
      </c>
      <c r="I39" s="27" t="n"/>
      <c r="J39" s="40">
        <f>Actual!$O$27</f>
        <v>120000</v>
      </c>
      <c r="K39" s="40">
        <f>Budget!$O$27</f>
        <v>120000</v>
      </c>
      <c r="L39" s="40">
        <f>-1*(J39-K39)</f>
        <v>0</v>
      </c>
      <c r="M39" s="41">
        <f>IF(K39=0,0,L39/ABS(K39))</f>
        <v>0</v>
      </c>
      <c r="N39" s="42">
        <f>E39</f>
        <v>0</v>
      </c>
      <c r="O39" s="42">
        <f>L39</f>
        <v>0</v>
      </c>
    </row>
    <row r="40">
      <c r="B40" s="28" t="inlineStr">
        <is>
          <t xml:space="preserve">  Other operating expenses</t>
        </is>
      </c>
      <c r="C40" s="40">
        <f>INDEX(Actual!$C$28:$N$28,$C$4)</f>
        <v>8400</v>
      </c>
      <c r="D40" s="40">
        <f>INDEX(Budget!$C$28:$N$28,$C$4)</f>
        <v>7000</v>
      </c>
      <c r="E40" s="40">
        <f>-1*(C40-D40)</f>
        <v>-1400</v>
      </c>
      <c r="F40" s="41">
        <f>IF(D40=0,0,E40/ABS(D40))</f>
        <v>-0.2</v>
      </c>
      <c r="G40" s="40">
        <f>IF($C$4=1,"n/a",INDEX(Actual!$C$28:$N$28,$C$4-1))</f>
        <v>7500</v>
      </c>
      <c r="H40" s="40">
        <f>IF($C$4=1,"n/a",C40-G40)</f>
        <v>900</v>
      </c>
      <c r="I40" s="27" t="n"/>
      <c r="J40" s="40">
        <f>Actual!$O$28</f>
        <v>75900</v>
      </c>
      <c r="K40" s="40">
        <f>Budget!$O$28</f>
        <v>70000</v>
      </c>
      <c r="L40" s="40">
        <f>-1*(J40-K40)</f>
        <v>-5900</v>
      </c>
      <c r="M40" s="41">
        <f>IF(K40=0,0,L40/ABS(K40))</f>
        <v>-0.0842857142857143</v>
      </c>
      <c r="N40" s="42">
        <f>E40</f>
        <v>-1400</v>
      </c>
      <c r="O40" s="42">
        <f>L40</f>
        <v>-5900</v>
      </c>
    </row>
    <row r="41">
      <c r="B41" s="43" t="inlineStr">
        <is>
          <t>Total operating expenses</t>
        </is>
      </c>
      <c r="C41" s="44">
        <f>INDEX(Actual!$C$29:$N$29,$C$4)</f>
        <v>362000</v>
      </c>
      <c r="D41" s="44">
        <f>INDEX(Budget!$C$29:$N$29,$C$4)</f>
        <v>335000</v>
      </c>
      <c r="E41" s="44">
        <f>-1*(C41-D41)</f>
        <v>-27000</v>
      </c>
      <c r="F41" s="45">
        <f>IF(D41=0,0,E41/ABS(D41))</f>
        <v>-0.0805970149253731</v>
      </c>
      <c r="G41" s="44">
        <f>IF($C$4=1,"n/a",INDEX(Actual!$C$29:$N$29,$C$4-1))</f>
        <v>358200</v>
      </c>
      <c r="H41" s="44">
        <f>IF($C$4=1,"n/a",C41-G41)</f>
        <v>3800</v>
      </c>
      <c r="I41" s="46" t="n"/>
      <c r="J41" s="44">
        <f>Actual!$O$29</f>
        <v>3474300</v>
      </c>
      <c r="K41" s="44">
        <f>Budget!$O$29</f>
        <v>3350000</v>
      </c>
      <c r="L41" s="44">
        <f>-1*(J41-K41)</f>
        <v>-124300</v>
      </c>
      <c r="M41" s="45">
        <f>IF(K41=0,0,L41/ABS(K41))</f>
        <v>-0.0371044776119403</v>
      </c>
    </row>
    <row r="42">
      <c r="B42" s="43" t="inlineStr">
        <is>
          <t>OPERATING PROFIT</t>
        </is>
      </c>
      <c r="C42" s="44">
        <f>INDEX(Actual!$C$30:$N$30,$C$4)</f>
        <v>78300</v>
      </c>
      <c r="D42" s="44">
        <f>INDEX(Budget!$C$30:$N$30,$C$4)</f>
        <v>173300</v>
      </c>
      <c r="E42" s="44">
        <f>1*(C42-D42)</f>
        <v>-95000</v>
      </c>
      <c r="F42" s="45">
        <f>IF(D42=0,0,E42/ABS(D42))</f>
        <v>-0.548182342758223</v>
      </c>
      <c r="G42" s="44">
        <f>IF($C$4=1,"n/a",INDEX(Actual!$C$30:$N$30,$C$4-1))</f>
        <v>59700</v>
      </c>
      <c r="H42" s="44">
        <f>IF($C$4=1,"n/a",C42-G42)</f>
        <v>18600</v>
      </c>
      <c r="I42" s="46" t="n"/>
      <c r="J42" s="44">
        <f>Actual!$O$30</f>
        <v>910900</v>
      </c>
      <c r="K42" s="44">
        <f>Budget!$O$30</f>
        <v>1229500</v>
      </c>
      <c r="L42" s="44">
        <f>1*(J42-K42)</f>
        <v>-318600</v>
      </c>
      <c r="M42" s="45">
        <f>IF(K42=0,0,L42/ABS(K42))</f>
        <v>-0.259129727531517</v>
      </c>
    </row>
    <row r="43">
      <c r="B43" s="47" t="inlineStr">
        <is>
          <t xml:space="preserve">  Operating margin %</t>
        </is>
      </c>
      <c r="C43" s="48">
        <f>IF(C23=0,0,C42/C23)</f>
        <v>0.0968939487687167</v>
      </c>
      <c r="D43" s="48">
        <f>IF(D23=0,0,D42/D23)</f>
        <v>0.199424626006905</v>
      </c>
      <c r="E43" s="48">
        <f>C43-D43</f>
        <v>-0.102530677238188</v>
      </c>
      <c r="G43" s="48">
        <f>IF($C$4=1,"n/a",IF(G23=0,0,G42/G23))</f>
        <v>0.078449408672799</v>
      </c>
      <c r="H43" s="48">
        <f>IF($C$4=1,"n/a",C43-G43)</f>
        <v>0.0184445400959178</v>
      </c>
      <c r="J43" s="48">
        <f>IF(J23=0,0,J42/J23)</f>
        <v>0.119084348690059</v>
      </c>
      <c r="K43" s="48">
        <f>IF(K23=0,0,K42/K23)</f>
        <v>0.157104523383593</v>
      </c>
      <c r="L43" s="48">
        <f>J43-K43</f>
        <v>-0.0380201746935341</v>
      </c>
    </row>
    <row r="44">
      <c r="B44" s="28" t="inlineStr">
        <is>
          <t xml:space="preserve">  Finance costs (interest, bank charges)</t>
        </is>
      </c>
      <c r="C44" s="40">
        <f>INDEX(Actual!$C$32:$N$32,$C$4)</f>
        <v>7000</v>
      </c>
      <c r="D44" s="40">
        <f>INDEX(Budget!$C$32:$N$32,$C$4)</f>
        <v>6000</v>
      </c>
      <c r="E44" s="40">
        <f>-1*(C44-D44)</f>
        <v>-1000</v>
      </c>
      <c r="F44" s="41">
        <f>IF(D44=0,0,E44/ABS(D44))</f>
        <v>-0.166666666666667</v>
      </c>
      <c r="G44" s="40">
        <f>IF($C$4=1,"n/a",INDEX(Actual!$C$32:$N$32,$C$4-1))</f>
        <v>6800</v>
      </c>
      <c r="H44" s="40">
        <f>IF($C$4=1,"n/a",C44-G44)</f>
        <v>200</v>
      </c>
      <c r="I44" s="27" t="n"/>
      <c r="J44" s="40">
        <f>Actual!$O$32</f>
        <v>63200</v>
      </c>
      <c r="K44" s="40">
        <f>Budget!$O$32</f>
        <v>60000</v>
      </c>
      <c r="L44" s="40">
        <f>-1*(J44-K44)</f>
        <v>-3200</v>
      </c>
      <c r="M44" s="41">
        <f>IF(K44=0,0,L44/ABS(K44))</f>
        <v>-0.0533333333333333</v>
      </c>
      <c r="N44" s="42">
        <f>E44</f>
        <v>-1000</v>
      </c>
      <c r="O44" s="42">
        <f>L44</f>
        <v>-3200</v>
      </c>
    </row>
    <row r="45">
      <c r="B45" s="28" t="inlineStr">
        <is>
          <t xml:space="preserve">  Income tax / Zakat (if applicable)</t>
        </is>
      </c>
      <c r="C45" s="40">
        <f>INDEX(Actual!$C$33:$N$33,$C$4)</f>
        <v>10000</v>
      </c>
      <c r="D45" s="40">
        <f>INDEX(Budget!$C$33:$N$33,$C$4)</f>
        <v>10000</v>
      </c>
      <c r="E45" s="40">
        <f>-1*(C45-D45)</f>
        <v>0</v>
      </c>
      <c r="F45" s="41">
        <f>IF(D45=0,0,E45/ABS(D45))</f>
        <v>0</v>
      </c>
      <c r="G45" s="40">
        <f>IF($C$4=1,"n/a",INDEX(Actual!$C$33:$N$33,$C$4-1))</f>
        <v>10000</v>
      </c>
      <c r="H45" s="40">
        <f>IF($C$4=1,"n/a",C45-G45)</f>
        <v>0</v>
      </c>
      <c r="I45" s="27" t="n"/>
      <c r="J45" s="40">
        <f>Actual!$O$33</f>
        <v>100000</v>
      </c>
      <c r="K45" s="40">
        <f>Budget!$O$33</f>
        <v>100000</v>
      </c>
      <c r="L45" s="40">
        <f>-1*(J45-K45)</f>
        <v>0</v>
      </c>
      <c r="M45" s="41">
        <f>IF(K45=0,0,L45/ABS(K45))</f>
        <v>0</v>
      </c>
      <c r="N45" s="42">
        <f>E45</f>
        <v>0</v>
      </c>
      <c r="O45" s="42">
        <f>L45</f>
        <v>0</v>
      </c>
    </row>
    <row r="46">
      <c r="B46" s="43" t="inlineStr">
        <is>
          <t>NET PROFIT</t>
        </is>
      </c>
      <c r="C46" s="44">
        <f>INDEX(Actual!$C$34:$N$34,$C$4)</f>
        <v>61300</v>
      </c>
      <c r="D46" s="44">
        <f>INDEX(Budget!$C$34:$N$34,$C$4)</f>
        <v>157300</v>
      </c>
      <c r="E46" s="44">
        <f>1*(C46-D46)</f>
        <v>-96000</v>
      </c>
      <c r="F46" s="45">
        <f>IF(D46=0,0,E46/ABS(D46))</f>
        <v>-0.610298792116974</v>
      </c>
      <c r="G46" s="44">
        <f>IF($C$4=1,"n/a",INDEX(Actual!$C$34:$N$34,$C$4-1))</f>
        <v>42900</v>
      </c>
      <c r="H46" s="44">
        <f>IF($C$4=1,"n/a",C46-G46)</f>
        <v>18400</v>
      </c>
      <c r="I46" s="46" t="n"/>
      <c r="J46" s="44">
        <f>Actual!$O$34</f>
        <v>747700</v>
      </c>
      <c r="K46" s="44">
        <f>Budget!$O$34</f>
        <v>1069500</v>
      </c>
      <c r="L46" s="44">
        <f>1*(J46-K46)</f>
        <v>-321800</v>
      </c>
      <c r="M46" s="45">
        <f>IF(K46=0,0,L46/ABS(K46))</f>
        <v>-0.300888265544647</v>
      </c>
    </row>
    <row r="47">
      <c r="B47" s="47" t="inlineStr">
        <is>
          <t xml:space="preserve">  Net margin %</t>
        </is>
      </c>
      <c r="C47" s="48">
        <f>IF(C23=0,0,C46/C23)</f>
        <v>0.0758569483974756</v>
      </c>
      <c r="D47" s="48">
        <f>IF(D23=0,0,D46/D23)</f>
        <v>0.181012658227848</v>
      </c>
      <c r="E47" s="48">
        <f>C47-D47</f>
        <v>-0.105155709830373</v>
      </c>
      <c r="G47" s="48">
        <f>IF($C$4=1,"n/a",IF(G23=0,0,G46/G23))</f>
        <v>0.0563731931668857</v>
      </c>
      <c r="H47" s="48">
        <f>IF($C$4=1,"n/a",C47-G47)</f>
        <v>0.0194837552305899</v>
      </c>
      <c r="J47" s="48">
        <f>IF(J23=0,0,J46/J23)</f>
        <v>0.0977487841865816</v>
      </c>
      <c r="K47" s="48">
        <f>IF(K23=0,0,K46/K23)</f>
        <v>0.136659851776131</v>
      </c>
      <c r="L47" s="48">
        <f>J47-K47</f>
        <v>-0.0389110675895493</v>
      </c>
    </row>
    <row r="49">
      <c r="B49" s="18" t="inlineStr">
        <is>
          <t>Margin rows: variance is the difference in percentage points (e.g. 2.0% = two points). Last-month columns show n/a when you review month 1.</t>
        </is>
      </c>
    </row>
    <row r="51">
      <c r="B51" s="19" t="inlineStr">
        <is>
          <t>axcellservice.com · Free template · Book a free 30-minute consultation: axcellservice.com/contact</t>
        </is>
      </c>
    </row>
  </sheetData>
  <mergeCells count="11">
    <mergeCell ref="F8:M8"/>
    <mergeCell ref="B16:M16"/>
    <mergeCell ref="F9:M9"/>
    <mergeCell ref="D7:E7"/>
    <mergeCell ref="F12:M12"/>
    <mergeCell ref="F15:M15"/>
    <mergeCell ref="F11:M11"/>
    <mergeCell ref="F10:M10"/>
    <mergeCell ref="F14:M14"/>
    <mergeCell ref="F13:M13"/>
    <mergeCell ref="B49:M49"/>
  </mergeCells>
  <conditionalFormatting sqref="F8:F11">
    <cfRule type="expression" priority="1" dxfId="0">
      <formula>OR(ISNUMBER(SEARCH("below",F8)),ISNUMBER(SEARCH("loss",F8)),ISNUMBER(SEARCH("falling",F8)))</formula>
    </cfRule>
  </conditionalFormatting>
  <conditionalFormatting sqref="F15">
    <cfRule type="expression" priority="2" dxfId="0">
      <formula>C15&gt;0</formula>
    </cfRule>
  </conditionalFormatting>
  <conditionalFormatting sqref="F12:F13">
    <cfRule type="expression" priority="3" dxfId="0">
      <formula>$C12&lt;0</formula>
    </cfRule>
  </conditionalFormatting>
  <conditionalFormatting sqref="C12:C13">
    <cfRule type="cellIs" priority="4" operator="lessThan" dxfId="0">
      <formula>0</formula>
    </cfRule>
  </conditionalFormatting>
  <conditionalFormatting sqref="E19:F47">
    <cfRule type="cellIs" priority="5" operator="lessThan" dxfId="0">
      <formula>0</formula>
    </cfRule>
    <cfRule type="cellIs" priority="6" operator="greaterThan" dxfId="1">
      <formula>0</formula>
    </cfRule>
  </conditionalFormatting>
  <conditionalFormatting sqref="L19:M47">
    <cfRule type="cellIs" priority="7" operator="lessThan" dxfId="0">
      <formula>0</formula>
    </cfRule>
    <cfRule type="cellIs" priority="8" operator="greaterThan" dxfId="1">
      <formula>0</formula>
    </cfRule>
  </conditionalFormatting>
  <dataValidations count="1">
    <dataValidation sqref="C4" showDropDown="0" showInputMessage="0" showErrorMessage="1" allowBlank="0" error="Choose a month number from 1 to 12." type="list">
      <formula1>"1,2,3,4,5,6,7,8,9,10,11,12"</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B1:P38"/>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4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4" customWidth="1" min="15" max="15"/>
    <col width="14" customWidth="1" min="16" max="16"/>
  </cols>
  <sheetData>
    <row r="1" ht="26" customHeight="1">
      <c r="B1" s="20" t="inlineStr">
        <is>
          <t>Actual P&amp;L by month</t>
        </is>
      </c>
    </row>
    <row r="2">
      <c r="B2" s="21" t="inlineStr">
        <is>
          <t>Axcell Financial Consulting · Monthly P&amp;L template</t>
        </is>
      </c>
    </row>
    <row r="3">
      <c r="B3" s="18" t="str">
        <f>"Amounts in "&amp;'Start here'!$C$21&amp;". Enter actual results after you close each month. Example figures: Jan–Oct closed."</f>
        <v>Amounts in Your currency. Enter actual results after you close each month. Example figures: Jan–Oct closed.</v>
      </c>
    </row>
    <row r="5" ht="30" customHeight="1">
      <c r="B5" s="37" t="inlineStr">
        <is>
          <t>Line item</t>
        </is>
      </c>
      <c r="C5" s="49">
        <f>'Start here'!$C$22</f>
        <v>46023</v>
      </c>
      <c r="D5" s="49">
        <f>EDATE(C5,1)</f>
        <v>46054</v>
      </c>
      <c r="E5" s="49">
        <f>EDATE(C5,2)</f>
        <v>46082</v>
      </c>
      <c r="F5" s="49">
        <f>EDATE(C5,3)</f>
        <v>46113</v>
      </c>
      <c r="G5" s="49">
        <f>EDATE(C5,4)</f>
        <v>46143</v>
      </c>
      <c r="H5" s="49">
        <f>EDATE(C5,5)</f>
        <v>46174</v>
      </c>
      <c r="I5" s="49">
        <f>EDATE(C5,6)</f>
        <v>46204</v>
      </c>
      <c r="J5" s="49">
        <f>EDATE(C5,7)</f>
        <v>46235</v>
      </c>
      <c r="K5" s="49">
        <f>EDATE(C5,8)</f>
        <v>46266</v>
      </c>
      <c r="L5" s="49">
        <f>EDATE(C5,9)</f>
        <v>46296</v>
      </c>
      <c r="M5" s="49">
        <f>EDATE(C5,10)</f>
        <v>46327</v>
      </c>
      <c r="N5" s="49">
        <f>EDATE(C5,11)</f>
        <v>46357</v>
      </c>
      <c r="O5" s="37" t="inlineStr">
        <is>
          <t>YTD to review month</t>
        </is>
      </c>
      <c r="P5" s="37" t="inlineStr">
        <is>
          <t>Full year</t>
        </is>
      </c>
    </row>
    <row r="6">
      <c r="B6" s="21" t="inlineStr">
        <is>
          <t>Month number</t>
        </is>
      </c>
      <c r="C6" s="50" t="n">
        <v>1</v>
      </c>
      <c r="D6" s="50" t="n">
        <v>2</v>
      </c>
      <c r="E6" s="50" t="n">
        <v>3</v>
      </c>
      <c r="F6" s="50" t="n">
        <v>4</v>
      </c>
      <c r="G6" s="50" t="n">
        <v>5</v>
      </c>
      <c r="H6" s="50" t="n">
        <v>6</v>
      </c>
      <c r="I6" s="50" t="n">
        <v>7</v>
      </c>
      <c r="J6" s="50" t="n">
        <v>8</v>
      </c>
      <c r="K6" s="50" t="n">
        <v>9</v>
      </c>
      <c r="L6" s="50" t="n">
        <v>10</v>
      </c>
      <c r="M6" s="50" t="n">
        <v>11</v>
      </c>
      <c r="N6" s="50" t="n">
        <v>12</v>
      </c>
    </row>
    <row r="7">
      <c r="B7" s="39" t="inlineStr">
        <is>
          <t>REVENUE</t>
        </is>
      </c>
    </row>
    <row r="8">
      <c r="B8" s="28" t="inlineStr">
        <is>
          <t xml:space="preserve">  Sales – services</t>
        </is>
      </c>
      <c r="C8" s="51" t="n">
        <v>454000</v>
      </c>
      <c r="D8" s="51" t="n">
        <v>483200</v>
      </c>
      <c r="E8" s="51" t="n">
        <v>535600</v>
      </c>
      <c r="F8" s="51" t="n">
        <v>525100</v>
      </c>
      <c r="G8" s="51" t="n">
        <v>567800</v>
      </c>
      <c r="H8" s="51" t="n">
        <v>503900</v>
      </c>
      <c r="I8" s="51" t="n">
        <v>448400</v>
      </c>
      <c r="J8" s="51" t="n">
        <v>468000</v>
      </c>
      <c r="K8" s="51" t="n">
        <v>514500</v>
      </c>
      <c r="L8" s="51" t="n">
        <v>556000</v>
      </c>
      <c r="M8" s="51" t="n"/>
      <c r="N8" s="51" t="n"/>
      <c r="O8" s="30">
        <f>SUMIF($C$6:$N$6,"&lt;="&amp;'Budget vs Actual'!$C$4,C8:N8)</f>
        <v>5056500</v>
      </c>
      <c r="P8" s="30">
        <f>SUM(C8:N8)</f>
        <v>5056500</v>
      </c>
    </row>
    <row r="9">
      <c r="B9" s="28" t="inlineStr">
        <is>
          <t xml:space="preserve">  Sales – products</t>
        </is>
      </c>
      <c r="C9" s="51" t="n">
        <v>257000</v>
      </c>
      <c r="D9" s="51" t="n">
        <v>252400</v>
      </c>
      <c r="E9" s="51" t="n">
        <v>282800</v>
      </c>
      <c r="F9" s="51" t="n">
        <v>294200</v>
      </c>
      <c r="G9" s="51" t="n">
        <v>285200</v>
      </c>
      <c r="H9" s="51" t="n">
        <v>255400</v>
      </c>
      <c r="I9" s="51" t="n">
        <v>216800</v>
      </c>
      <c r="J9" s="51" t="n">
        <v>214200</v>
      </c>
      <c r="K9" s="51" t="n">
        <v>239900</v>
      </c>
      <c r="L9" s="51" t="n">
        <v>248000</v>
      </c>
      <c r="M9" s="51" t="n"/>
      <c r="N9" s="51" t="n"/>
      <c r="O9" s="30">
        <f>SUMIF($C$6:$N$6,"&lt;="&amp;'Budget vs Actual'!$C$4,C9:N9)</f>
        <v>2545900</v>
      </c>
      <c r="P9" s="30">
        <f>SUM(C9:N9)</f>
        <v>2545900</v>
      </c>
    </row>
    <row r="10">
      <c r="B10" s="28" t="inlineStr">
        <is>
          <t xml:space="preserve">  Other revenue</t>
        </is>
      </c>
      <c r="C10" s="51" t="n">
        <v>4200</v>
      </c>
      <c r="D10" s="51" t="n">
        <v>5600</v>
      </c>
      <c r="E10" s="51" t="n">
        <v>3900</v>
      </c>
      <c r="F10" s="51" t="n">
        <v>6100</v>
      </c>
      <c r="G10" s="51" t="n">
        <v>4800</v>
      </c>
      <c r="H10" s="51" t="n">
        <v>5200</v>
      </c>
      <c r="I10" s="51" t="n">
        <v>2900</v>
      </c>
      <c r="J10" s="51" t="n">
        <v>3400</v>
      </c>
      <c r="K10" s="51" t="n">
        <v>6600</v>
      </c>
      <c r="L10" s="51" t="n">
        <v>4100</v>
      </c>
      <c r="M10" s="51" t="n"/>
      <c r="N10" s="51" t="n"/>
      <c r="O10" s="30">
        <f>SUMIF($C$6:$N$6,"&lt;="&amp;'Budget vs Actual'!$C$4,C10:N10)</f>
        <v>46800</v>
      </c>
      <c r="P10" s="30">
        <f>SUM(C10:N10)</f>
        <v>46800</v>
      </c>
    </row>
    <row r="11">
      <c r="B11" s="43" t="inlineStr">
        <is>
          <t>Total revenue</t>
        </is>
      </c>
      <c r="C11" s="52">
        <f>SUM(C8:C10)</f>
        <v>715200</v>
      </c>
      <c r="D11" s="52">
        <f>SUM(D8:D10)</f>
        <v>741200</v>
      </c>
      <c r="E11" s="52">
        <f>SUM(E8:E10)</f>
        <v>822300</v>
      </c>
      <c r="F11" s="52">
        <f>SUM(F8:F10)</f>
        <v>825400</v>
      </c>
      <c r="G11" s="52">
        <f>SUM(G8:G10)</f>
        <v>857800</v>
      </c>
      <c r="H11" s="52">
        <f>SUM(H8:H10)</f>
        <v>764500</v>
      </c>
      <c r="I11" s="52">
        <f>SUM(I8:I10)</f>
        <v>668100</v>
      </c>
      <c r="J11" s="52">
        <f>SUM(J8:J10)</f>
        <v>685600</v>
      </c>
      <c r="K11" s="52">
        <f>SUM(K8:K10)</f>
        <v>761000</v>
      </c>
      <c r="L11" s="52">
        <f>SUM(L8:L10)</f>
        <v>808100</v>
      </c>
      <c r="M11" s="52">
        <f>SUM(M8:M10)</f>
        <v>0</v>
      </c>
      <c r="N11" s="52">
        <f>SUM(N8:N10)</f>
        <v>0</v>
      </c>
      <c r="O11" s="52">
        <f>SUM(O8:O10)</f>
        <v>7649200</v>
      </c>
      <c r="P11" s="52">
        <f>SUM(P8:P10)</f>
        <v>7649200</v>
      </c>
    </row>
    <row r="12">
      <c r="B12" s="39" t="inlineStr">
        <is>
          <t>COST OF SALES</t>
        </is>
      </c>
    </row>
    <row r="13">
      <c r="B13" s="28" t="inlineStr">
        <is>
          <t xml:space="preserve">  Direct materials / purchases</t>
        </is>
      </c>
      <c r="C13" s="51" t="n">
        <v>141400</v>
      </c>
      <c r="D13" s="51" t="n">
        <v>138800</v>
      </c>
      <c r="E13" s="51" t="n">
        <v>158400</v>
      </c>
      <c r="F13" s="51" t="n">
        <v>161800</v>
      </c>
      <c r="G13" s="51" t="n">
        <v>159700</v>
      </c>
      <c r="H13" s="51" t="n">
        <v>143000</v>
      </c>
      <c r="I13" s="51" t="n">
        <v>130100</v>
      </c>
      <c r="J13" s="51" t="n">
        <v>137100</v>
      </c>
      <c r="K13" s="51" t="n">
        <v>163100</v>
      </c>
      <c r="L13" s="51" t="n">
        <v>173600</v>
      </c>
      <c r="M13" s="51" t="n"/>
      <c r="N13" s="51" t="n"/>
      <c r="O13" s="30">
        <f>SUMIF($C$6:$N$6,"&lt;="&amp;'Budget vs Actual'!$C$4,C13:N13)</f>
        <v>1507000</v>
      </c>
      <c r="P13" s="30">
        <f>SUM(C13:N13)</f>
        <v>1507000</v>
      </c>
    </row>
    <row r="14">
      <c r="B14" s="28" t="inlineStr">
        <is>
          <t xml:space="preserve">  Direct labour</t>
        </is>
      </c>
      <c r="C14" s="51" t="n">
        <v>136200</v>
      </c>
      <c r="D14" s="51" t="n">
        <v>145000</v>
      </c>
      <c r="E14" s="51" t="n">
        <v>160700</v>
      </c>
      <c r="F14" s="51" t="n">
        <v>157500</v>
      </c>
      <c r="G14" s="51" t="n">
        <v>170300</v>
      </c>
      <c r="H14" s="51" t="n">
        <v>151200</v>
      </c>
      <c r="I14" s="51" t="n">
        <v>137200</v>
      </c>
      <c r="J14" s="51" t="n">
        <v>143200</v>
      </c>
      <c r="K14" s="51" t="n">
        <v>157400</v>
      </c>
      <c r="L14" s="51" t="n">
        <v>170100</v>
      </c>
      <c r="M14" s="51" t="n"/>
      <c r="N14" s="51" t="n"/>
      <c r="O14" s="30">
        <f>SUMIF($C$6:$N$6,"&lt;="&amp;'Budget vs Actual'!$C$4,C14:N14)</f>
        <v>1528800</v>
      </c>
      <c r="P14" s="30">
        <f>SUM(C14:N14)</f>
        <v>1528800</v>
      </c>
    </row>
    <row r="15">
      <c r="B15" s="28" t="inlineStr">
        <is>
          <t xml:space="preserve">  Other direct costs</t>
        </is>
      </c>
      <c r="C15" s="51" t="n">
        <v>21300</v>
      </c>
      <c r="D15" s="51" t="n">
        <v>22100</v>
      </c>
      <c r="E15" s="51" t="n">
        <v>24600</v>
      </c>
      <c r="F15" s="51" t="n">
        <v>24600</v>
      </c>
      <c r="G15" s="51" t="n">
        <v>25600</v>
      </c>
      <c r="H15" s="51" t="n">
        <v>22800</v>
      </c>
      <c r="I15" s="51" t="n">
        <v>20000</v>
      </c>
      <c r="J15" s="51" t="n">
        <v>20500</v>
      </c>
      <c r="K15" s="51" t="n">
        <v>22600</v>
      </c>
      <c r="L15" s="51" t="n">
        <v>24100</v>
      </c>
      <c r="M15" s="51" t="n"/>
      <c r="N15" s="51" t="n"/>
      <c r="O15" s="30">
        <f>SUMIF($C$6:$N$6,"&lt;="&amp;'Budget vs Actual'!$C$4,C15:N15)</f>
        <v>228200</v>
      </c>
      <c r="P15" s="30">
        <f>SUM(C15:N15)</f>
        <v>228200</v>
      </c>
    </row>
    <row r="16">
      <c r="B16" s="43" t="inlineStr">
        <is>
          <t>Total cost of sales</t>
        </is>
      </c>
      <c r="C16" s="52">
        <f>SUM(C13:C15)</f>
        <v>298900</v>
      </c>
      <c r="D16" s="52">
        <f>SUM(D13:D15)</f>
        <v>305900</v>
      </c>
      <c r="E16" s="52">
        <f>SUM(E13:E15)</f>
        <v>343700</v>
      </c>
      <c r="F16" s="52">
        <f>SUM(F13:F15)</f>
        <v>343900</v>
      </c>
      <c r="G16" s="52">
        <f>SUM(G13:G15)</f>
        <v>355600</v>
      </c>
      <c r="H16" s="52">
        <f>SUM(H13:H15)</f>
        <v>317000</v>
      </c>
      <c r="I16" s="52">
        <f>SUM(I13:I15)</f>
        <v>287300</v>
      </c>
      <c r="J16" s="52">
        <f>SUM(J13:J15)</f>
        <v>300800</v>
      </c>
      <c r="K16" s="52">
        <f>SUM(K13:K15)</f>
        <v>343100</v>
      </c>
      <c r="L16" s="52">
        <f>SUM(L13:L15)</f>
        <v>367800</v>
      </c>
      <c r="M16" s="52">
        <f>SUM(M13:M15)</f>
        <v>0</v>
      </c>
      <c r="N16" s="52">
        <f>SUM(N13:N15)</f>
        <v>0</v>
      </c>
      <c r="O16" s="52">
        <f>SUM(O13:O15)</f>
        <v>3264000</v>
      </c>
      <c r="P16" s="52">
        <f>SUM(P13:P15)</f>
        <v>3264000</v>
      </c>
    </row>
    <row r="17">
      <c r="B17" s="43" t="inlineStr">
        <is>
          <t>GROSS PROFIT</t>
        </is>
      </c>
      <c r="C17" s="52">
        <f>C11-C16</f>
        <v>416300</v>
      </c>
      <c r="D17" s="52">
        <f>D11-D16</f>
        <v>435300</v>
      </c>
      <c r="E17" s="52">
        <f>E11-E16</f>
        <v>478600</v>
      </c>
      <c r="F17" s="52">
        <f>F11-F16</f>
        <v>481500</v>
      </c>
      <c r="G17" s="52">
        <f>G11-G16</f>
        <v>502200</v>
      </c>
      <c r="H17" s="52">
        <f>H11-H16</f>
        <v>447500</v>
      </c>
      <c r="I17" s="52">
        <f>I11-I16</f>
        <v>380800</v>
      </c>
      <c r="J17" s="52">
        <f>J11-J16</f>
        <v>384800</v>
      </c>
      <c r="K17" s="52">
        <f>K11-K16</f>
        <v>417900</v>
      </c>
      <c r="L17" s="52">
        <f>L11-L16</f>
        <v>440300</v>
      </c>
      <c r="M17" s="52">
        <f>M11-M16</f>
        <v>0</v>
      </c>
      <c r="N17" s="52">
        <f>N11-N16</f>
        <v>0</v>
      </c>
      <c r="O17" s="52">
        <f>O11-O16</f>
        <v>4385200</v>
      </c>
      <c r="P17" s="52">
        <f>P11-P16</f>
        <v>4385200</v>
      </c>
    </row>
    <row r="18">
      <c r="B18" s="47" t="inlineStr">
        <is>
          <t xml:space="preserve">  Gross margin %</t>
        </is>
      </c>
      <c r="C18" s="53">
        <f>IF(C11=0,0,C17/C11)</f>
        <v>0.582074944071588</v>
      </c>
      <c r="D18" s="53">
        <f>IF(D11=0,0,D17/D11)</f>
        <v>0.587290879654614</v>
      </c>
      <c r="E18" s="53">
        <f>IF(E11=0,0,E17/E11)</f>
        <v>0.582026024565244</v>
      </c>
      <c r="F18" s="53">
        <f>IF(F11=0,0,F17/F11)</f>
        <v>0.583353525563363</v>
      </c>
      <c r="G18" s="53">
        <f>IF(G11=0,0,G17/G11)</f>
        <v>0.585451154115178</v>
      </c>
      <c r="H18" s="53">
        <f>IF(H11=0,0,H17/H11)</f>
        <v>0.585349901896665</v>
      </c>
      <c r="I18" s="53">
        <f>IF(I11=0,0,I17/I11)</f>
        <v>0.569974554707379</v>
      </c>
      <c r="J18" s="53">
        <f>IF(J11=0,0,J17/J11)</f>
        <v>0.561260210035006</v>
      </c>
      <c r="K18" s="53">
        <f>IF(K11=0,0,K17/K11)</f>
        <v>0.549145860709593</v>
      </c>
      <c r="L18" s="53">
        <f>IF(L11=0,0,L17/L11)</f>
        <v>0.544858309615147</v>
      </c>
      <c r="M18" s="53">
        <f>IF(M11=0,0,M17/M11)</f>
        <v>0</v>
      </c>
      <c r="N18" s="53">
        <f>IF(N11=0,0,N17/N11)</f>
        <v>0</v>
      </c>
      <c r="O18" s="53">
        <f>IF(O11=0,0,O17/O11)</f>
        <v>0.57328870993045</v>
      </c>
      <c r="P18" s="53">
        <f>IF(P11=0,0,P17/P11)</f>
        <v>0.57328870993045</v>
      </c>
    </row>
    <row r="19">
      <c r="B19" s="39" t="inlineStr">
        <is>
          <t>OPERATING EXPENSES</t>
        </is>
      </c>
    </row>
    <row r="20">
      <c r="B20" s="28" t="inlineStr">
        <is>
          <t xml:space="preserve">  Salaries and benefits</t>
        </is>
      </c>
      <c r="C20" s="51" t="n">
        <v>218000</v>
      </c>
      <c r="D20" s="51" t="n">
        <v>218000</v>
      </c>
      <c r="E20" s="51" t="n">
        <v>221500</v>
      </c>
      <c r="F20" s="51" t="n">
        <v>221500</v>
      </c>
      <c r="G20" s="51" t="n">
        <v>224000</v>
      </c>
      <c r="H20" s="51" t="n">
        <v>224000</v>
      </c>
      <c r="I20" s="51" t="n">
        <v>226000</v>
      </c>
      <c r="J20" s="51" t="n">
        <v>226000</v>
      </c>
      <c r="K20" s="51" t="n">
        <v>226000</v>
      </c>
      <c r="L20" s="51" t="n">
        <v>229500</v>
      </c>
      <c r="M20" s="51" t="n"/>
      <c r="N20" s="51" t="n"/>
      <c r="O20" s="30">
        <f>SUMIF($C$6:$N$6,"&lt;="&amp;'Budget vs Actual'!$C$4,C20:N20)</f>
        <v>2234500</v>
      </c>
      <c r="P20" s="30">
        <f>SUM(C20:N20)</f>
        <v>2234500</v>
      </c>
    </row>
    <row r="21">
      <c r="B21" s="28" t="inlineStr">
        <is>
          <t xml:space="preserve">  Rent</t>
        </is>
      </c>
      <c r="C21" s="51" t="n">
        <v>45000</v>
      </c>
      <c r="D21" s="51" t="n">
        <v>45000</v>
      </c>
      <c r="E21" s="51" t="n">
        <v>45000</v>
      </c>
      <c r="F21" s="51" t="n">
        <v>45000</v>
      </c>
      <c r="G21" s="51" t="n">
        <v>45000</v>
      </c>
      <c r="H21" s="51" t="n">
        <v>45000</v>
      </c>
      <c r="I21" s="51" t="n">
        <v>45000</v>
      </c>
      <c r="J21" s="51" t="n">
        <v>45000</v>
      </c>
      <c r="K21" s="51" t="n">
        <v>45000</v>
      </c>
      <c r="L21" s="51" t="n">
        <v>45000</v>
      </c>
      <c r="M21" s="51" t="n"/>
      <c r="N21" s="51" t="n"/>
      <c r="O21" s="30">
        <f>SUMIF($C$6:$N$6,"&lt;="&amp;'Budget vs Actual'!$C$4,C21:N21)</f>
        <v>450000</v>
      </c>
      <c r="P21" s="30">
        <f>SUM(C21:N21)</f>
        <v>450000</v>
      </c>
    </row>
    <row r="22">
      <c r="B22" s="28" t="inlineStr">
        <is>
          <t xml:space="preserve">  Utilities</t>
        </is>
      </c>
      <c r="C22" s="51" t="n">
        <v>5400</v>
      </c>
      <c r="D22" s="51" t="n">
        <v>5600</v>
      </c>
      <c r="E22" s="51" t="n">
        <v>5900</v>
      </c>
      <c r="F22" s="51" t="n">
        <v>6300</v>
      </c>
      <c r="G22" s="51" t="n">
        <v>7400</v>
      </c>
      <c r="H22" s="51" t="n">
        <v>8200</v>
      </c>
      <c r="I22" s="51" t="n">
        <v>8900</v>
      </c>
      <c r="J22" s="51" t="n">
        <v>8600</v>
      </c>
      <c r="K22" s="51" t="n">
        <v>7100</v>
      </c>
      <c r="L22" s="51" t="n">
        <v>6200</v>
      </c>
      <c r="M22" s="51" t="n"/>
      <c r="N22" s="51" t="n"/>
      <c r="O22" s="30">
        <f>SUMIF($C$6:$N$6,"&lt;="&amp;'Budget vs Actual'!$C$4,C22:N22)</f>
        <v>69600</v>
      </c>
      <c r="P22" s="30">
        <f>SUM(C22:N22)</f>
        <v>69600</v>
      </c>
    </row>
    <row r="23">
      <c r="B23" s="28" t="inlineStr">
        <is>
          <t xml:space="preserve">  Marketing</t>
        </is>
      </c>
      <c r="C23" s="51" t="n">
        <v>29000</v>
      </c>
      <c r="D23" s="51" t="n">
        <v>31000</v>
      </c>
      <c r="E23" s="51" t="n">
        <v>30500</v>
      </c>
      <c r="F23" s="51" t="n">
        <v>33000</v>
      </c>
      <c r="G23" s="51" t="n">
        <v>36000</v>
      </c>
      <c r="H23" s="51" t="n">
        <v>38000</v>
      </c>
      <c r="I23" s="51" t="n">
        <v>41000</v>
      </c>
      <c r="J23" s="51" t="n">
        <v>44000</v>
      </c>
      <c r="K23" s="51" t="n">
        <v>45500</v>
      </c>
      <c r="L23" s="51" t="n">
        <v>47000</v>
      </c>
      <c r="M23" s="51" t="n"/>
      <c r="N23" s="51" t="n"/>
      <c r="O23" s="30">
        <f>SUMIF($C$6:$N$6,"&lt;="&amp;'Budget vs Actual'!$C$4,C23:N23)</f>
        <v>375000</v>
      </c>
      <c r="P23" s="30">
        <f>SUM(C23:N23)</f>
        <v>375000</v>
      </c>
    </row>
    <row r="24">
      <c r="B24" s="28" t="inlineStr">
        <is>
          <t xml:space="preserve">  Professional fees</t>
        </is>
      </c>
      <c r="C24" s="51" t="n">
        <v>6000</v>
      </c>
      <c r="D24" s="51" t="n">
        <v>8500</v>
      </c>
      <c r="E24" s="51" t="n">
        <v>14000</v>
      </c>
      <c r="F24" s="51" t="n">
        <v>6500</v>
      </c>
      <c r="G24" s="51" t="n">
        <v>7000</v>
      </c>
      <c r="H24" s="51" t="n">
        <v>7500</v>
      </c>
      <c r="I24" s="51" t="n">
        <v>6000</v>
      </c>
      <c r="J24" s="51" t="n">
        <v>9000</v>
      </c>
      <c r="K24" s="51" t="n">
        <v>8000</v>
      </c>
      <c r="L24" s="51" t="n">
        <v>7000</v>
      </c>
      <c r="M24" s="51" t="n"/>
      <c r="N24" s="51" t="n"/>
      <c r="O24" s="30">
        <f>SUMIF($C$6:$N$6,"&lt;="&amp;'Budget vs Actual'!$C$4,C24:N24)</f>
        <v>79500</v>
      </c>
      <c r="P24" s="30">
        <f>SUM(C24:N24)</f>
        <v>79500</v>
      </c>
    </row>
    <row r="25">
      <c r="B25" s="28" t="inlineStr">
        <is>
          <t xml:space="preserve">  Office and admin supplies</t>
        </is>
      </c>
      <c r="C25" s="51" t="n">
        <v>2600</v>
      </c>
      <c r="D25" s="51" t="n">
        <v>3100</v>
      </c>
      <c r="E25" s="51" t="n">
        <v>2900</v>
      </c>
      <c r="F25" s="51" t="n">
        <v>3400</v>
      </c>
      <c r="G25" s="51" t="n">
        <v>2800</v>
      </c>
      <c r="H25" s="51" t="n">
        <v>3000</v>
      </c>
      <c r="I25" s="51" t="n">
        <v>2700</v>
      </c>
      <c r="J25" s="51" t="n">
        <v>3300</v>
      </c>
      <c r="K25" s="51" t="n">
        <v>3100</v>
      </c>
      <c r="L25" s="51" t="n">
        <v>2900</v>
      </c>
      <c r="M25" s="51" t="n"/>
      <c r="N25" s="51" t="n"/>
      <c r="O25" s="30">
        <f>SUMIF($C$6:$N$6,"&lt;="&amp;'Budget vs Actual'!$C$4,C25:N25)</f>
        <v>29800</v>
      </c>
      <c r="P25" s="30">
        <f>SUM(C25:N25)</f>
        <v>29800</v>
      </c>
    </row>
    <row r="26">
      <c r="B26" s="28" t="inlineStr">
        <is>
          <t xml:space="preserve">  Insurance</t>
        </is>
      </c>
      <c r="C26" s="51" t="n">
        <v>4000</v>
      </c>
      <c r="D26" s="51" t="n">
        <v>4000</v>
      </c>
      <c r="E26" s="51" t="n">
        <v>4000</v>
      </c>
      <c r="F26" s="51" t="n">
        <v>4000</v>
      </c>
      <c r="G26" s="51" t="n">
        <v>4000</v>
      </c>
      <c r="H26" s="51" t="n">
        <v>4000</v>
      </c>
      <c r="I26" s="51" t="n">
        <v>4000</v>
      </c>
      <c r="J26" s="51" t="n">
        <v>4000</v>
      </c>
      <c r="K26" s="51" t="n">
        <v>4000</v>
      </c>
      <c r="L26" s="51" t="n">
        <v>4000</v>
      </c>
      <c r="M26" s="51" t="n"/>
      <c r="N26" s="51" t="n"/>
      <c r="O26" s="30">
        <f>SUMIF($C$6:$N$6,"&lt;="&amp;'Budget vs Actual'!$C$4,C26:N26)</f>
        <v>40000</v>
      </c>
      <c r="P26" s="30">
        <f>SUM(C26:N26)</f>
        <v>40000</v>
      </c>
    </row>
    <row r="27">
      <c r="B27" s="28" t="inlineStr">
        <is>
          <t xml:space="preserve">  Depreciation</t>
        </is>
      </c>
      <c r="C27" s="51" t="n">
        <v>12000</v>
      </c>
      <c r="D27" s="51" t="n">
        <v>12000</v>
      </c>
      <c r="E27" s="51" t="n">
        <v>12000</v>
      </c>
      <c r="F27" s="51" t="n">
        <v>12000</v>
      </c>
      <c r="G27" s="51" t="n">
        <v>12000</v>
      </c>
      <c r="H27" s="51" t="n">
        <v>12000</v>
      </c>
      <c r="I27" s="51" t="n">
        <v>12000</v>
      </c>
      <c r="J27" s="51" t="n">
        <v>12000</v>
      </c>
      <c r="K27" s="51" t="n">
        <v>12000</v>
      </c>
      <c r="L27" s="51" t="n">
        <v>12000</v>
      </c>
      <c r="M27" s="51" t="n"/>
      <c r="N27" s="51" t="n"/>
      <c r="O27" s="30">
        <f>SUMIF($C$6:$N$6,"&lt;="&amp;'Budget vs Actual'!$C$4,C27:N27)</f>
        <v>120000</v>
      </c>
      <c r="P27" s="30">
        <f>SUM(C27:N27)</f>
        <v>120000</v>
      </c>
    </row>
    <row r="28">
      <c r="B28" s="28" t="inlineStr">
        <is>
          <t xml:space="preserve">  Other operating expenses</t>
        </is>
      </c>
      <c r="C28" s="51" t="n">
        <v>6200</v>
      </c>
      <c r="D28" s="51" t="n">
        <v>7800</v>
      </c>
      <c r="E28" s="51" t="n">
        <v>6900</v>
      </c>
      <c r="F28" s="51" t="n">
        <v>7400</v>
      </c>
      <c r="G28" s="51" t="n">
        <v>8100</v>
      </c>
      <c r="H28" s="51" t="n">
        <v>6600</v>
      </c>
      <c r="I28" s="51" t="n">
        <v>7200</v>
      </c>
      <c r="J28" s="51" t="n">
        <v>9800</v>
      </c>
      <c r="K28" s="51" t="n">
        <v>7500</v>
      </c>
      <c r="L28" s="51" t="n">
        <v>8400</v>
      </c>
      <c r="M28" s="51" t="n"/>
      <c r="N28" s="51" t="n"/>
      <c r="O28" s="30">
        <f>SUMIF($C$6:$N$6,"&lt;="&amp;'Budget vs Actual'!$C$4,C28:N28)</f>
        <v>75900</v>
      </c>
      <c r="P28" s="30">
        <f>SUM(C28:N28)</f>
        <v>75900</v>
      </c>
    </row>
    <row r="29">
      <c r="B29" s="43" t="inlineStr">
        <is>
          <t>Total operating expenses</t>
        </is>
      </c>
      <c r="C29" s="52">
        <f>SUM(C20:C28)</f>
        <v>328200</v>
      </c>
      <c r="D29" s="52">
        <f>SUM(D20:D28)</f>
        <v>335000</v>
      </c>
      <c r="E29" s="52">
        <f>SUM(E20:E28)</f>
        <v>342700</v>
      </c>
      <c r="F29" s="52">
        <f>SUM(F20:F28)</f>
        <v>339100</v>
      </c>
      <c r="G29" s="52">
        <f>SUM(G20:G28)</f>
        <v>346300</v>
      </c>
      <c r="H29" s="52">
        <f>SUM(H20:H28)</f>
        <v>348300</v>
      </c>
      <c r="I29" s="52">
        <f>SUM(I20:I28)</f>
        <v>352800</v>
      </c>
      <c r="J29" s="52">
        <f>SUM(J20:J28)</f>
        <v>361700</v>
      </c>
      <c r="K29" s="52">
        <f>SUM(K20:K28)</f>
        <v>358200</v>
      </c>
      <c r="L29" s="52">
        <f>SUM(L20:L28)</f>
        <v>362000</v>
      </c>
      <c r="M29" s="52">
        <f>SUM(M20:M28)</f>
        <v>0</v>
      </c>
      <c r="N29" s="52">
        <f>SUM(N20:N28)</f>
        <v>0</v>
      </c>
      <c r="O29" s="52">
        <f>SUM(O20:O28)</f>
        <v>3474300</v>
      </c>
      <c r="P29" s="52">
        <f>SUM(P20:P28)</f>
        <v>3474300</v>
      </c>
    </row>
    <row r="30">
      <c r="B30" s="43" t="inlineStr">
        <is>
          <t>OPERATING PROFIT</t>
        </is>
      </c>
      <c r="C30" s="52">
        <f>C17-C29</f>
        <v>88100</v>
      </c>
      <c r="D30" s="52">
        <f>D17-D29</f>
        <v>100300</v>
      </c>
      <c r="E30" s="52">
        <f>E17-E29</f>
        <v>135900</v>
      </c>
      <c r="F30" s="52">
        <f>F17-F29</f>
        <v>142400</v>
      </c>
      <c r="G30" s="52">
        <f>G17-G29</f>
        <v>155900</v>
      </c>
      <c r="H30" s="52">
        <f>H17-H29</f>
        <v>99200</v>
      </c>
      <c r="I30" s="52">
        <f>I17-I29</f>
        <v>28000</v>
      </c>
      <c r="J30" s="52">
        <f>J17-J29</f>
        <v>23100</v>
      </c>
      <c r="K30" s="52">
        <f>K17-K29</f>
        <v>59700</v>
      </c>
      <c r="L30" s="52">
        <f>L17-L29</f>
        <v>78300</v>
      </c>
      <c r="M30" s="52">
        <f>M17-M29</f>
        <v>0</v>
      </c>
      <c r="N30" s="52">
        <f>N17-N29</f>
        <v>0</v>
      </c>
      <c r="O30" s="52">
        <f>O17-O29</f>
        <v>910900</v>
      </c>
      <c r="P30" s="52">
        <f>P17-P29</f>
        <v>910900</v>
      </c>
    </row>
    <row r="31">
      <c r="B31" s="47" t="inlineStr">
        <is>
          <t xml:space="preserve">  Operating margin %</t>
        </is>
      </c>
      <c r="C31" s="53">
        <f>IF(C11=0,0,C30/C11)</f>
        <v>0.123182326621924</v>
      </c>
      <c r="D31" s="53">
        <f>IF(D11=0,0,D30/D11)</f>
        <v>0.135321100917431</v>
      </c>
      <c r="E31" s="53">
        <f>IF(E11=0,0,E30/E11)</f>
        <v>0.165268150310106</v>
      </c>
      <c r="F31" s="53">
        <f>IF(F11=0,0,F30/F11)</f>
        <v>0.172522413375333</v>
      </c>
      <c r="G31" s="53">
        <f>IF(G11=0,0,G30/G11)</f>
        <v>0.181743996269527</v>
      </c>
      <c r="H31" s="53">
        <f>IF(H11=0,0,H30/H11)</f>
        <v>0.1297580117724</v>
      </c>
      <c r="I31" s="53">
        <f>IF(I11=0,0,I30/I11)</f>
        <v>0.0419098937284838</v>
      </c>
      <c r="J31" s="53">
        <f>IF(J11=0,0,J30/J11)</f>
        <v>0.0336931155192532</v>
      </c>
      <c r="K31" s="53">
        <f>IF(K11=0,0,K30/K11)</f>
        <v>0.078449408672799</v>
      </c>
      <c r="L31" s="53">
        <f>IF(L11=0,0,L30/L11)</f>
        <v>0.0968939487687167</v>
      </c>
      <c r="M31" s="53">
        <f>IF(M11=0,0,M30/M11)</f>
        <v>0</v>
      </c>
      <c r="N31" s="53">
        <f>IF(N11=0,0,N30/N11)</f>
        <v>0</v>
      </c>
      <c r="O31" s="53">
        <f>IF(O11=0,0,O30/O11)</f>
        <v>0.119084348690059</v>
      </c>
      <c r="P31" s="53">
        <f>IF(P11=0,0,P30/P11)</f>
        <v>0.119084348690059</v>
      </c>
    </row>
    <row r="32">
      <c r="B32" s="28" t="inlineStr">
        <is>
          <t xml:space="preserve">  Finance costs (interest, bank charges)</t>
        </is>
      </c>
      <c r="C32" s="51" t="n">
        <v>5800</v>
      </c>
      <c r="D32" s="51" t="n">
        <v>5900</v>
      </c>
      <c r="E32" s="51" t="n">
        <v>6100</v>
      </c>
      <c r="F32" s="51" t="n">
        <v>6000</v>
      </c>
      <c r="G32" s="51" t="n">
        <v>6300</v>
      </c>
      <c r="H32" s="51" t="n">
        <v>6200</v>
      </c>
      <c r="I32" s="51" t="n">
        <v>6500</v>
      </c>
      <c r="J32" s="51" t="n">
        <v>6600</v>
      </c>
      <c r="K32" s="51" t="n">
        <v>6800</v>
      </c>
      <c r="L32" s="51" t="n">
        <v>7000</v>
      </c>
      <c r="M32" s="51" t="n"/>
      <c r="N32" s="51" t="n"/>
      <c r="O32" s="30">
        <f>SUMIF($C$6:$N$6,"&lt;="&amp;'Budget vs Actual'!$C$4,C32:N32)</f>
        <v>63200</v>
      </c>
      <c r="P32" s="30">
        <f>SUM(C32:N32)</f>
        <v>63200</v>
      </c>
    </row>
    <row r="33">
      <c r="B33" s="28" t="inlineStr">
        <is>
          <t xml:space="preserve">  Income tax / Zakat (if applicable)</t>
        </is>
      </c>
      <c r="C33" s="51" t="n">
        <v>10000</v>
      </c>
      <c r="D33" s="51" t="n">
        <v>10000</v>
      </c>
      <c r="E33" s="51" t="n">
        <v>10000</v>
      </c>
      <c r="F33" s="51" t="n">
        <v>10000</v>
      </c>
      <c r="G33" s="51" t="n">
        <v>10000</v>
      </c>
      <c r="H33" s="51" t="n">
        <v>10000</v>
      </c>
      <c r="I33" s="51" t="n">
        <v>10000</v>
      </c>
      <c r="J33" s="51" t="n">
        <v>10000</v>
      </c>
      <c r="K33" s="51" t="n">
        <v>10000</v>
      </c>
      <c r="L33" s="51" t="n">
        <v>10000</v>
      </c>
      <c r="M33" s="51" t="n"/>
      <c r="N33" s="51" t="n"/>
      <c r="O33" s="30">
        <f>SUMIF($C$6:$N$6,"&lt;="&amp;'Budget vs Actual'!$C$4,C33:N33)</f>
        <v>100000</v>
      </c>
      <c r="P33" s="30">
        <f>SUM(C33:N33)</f>
        <v>100000</v>
      </c>
    </row>
    <row r="34">
      <c r="B34" s="43" t="inlineStr">
        <is>
          <t>NET PROFIT</t>
        </is>
      </c>
      <c r="C34" s="52">
        <f>C30-C32-C33</f>
        <v>72300</v>
      </c>
      <c r="D34" s="52">
        <f>D30-D32-D33</f>
        <v>84400</v>
      </c>
      <c r="E34" s="52">
        <f>E30-E32-E33</f>
        <v>119800</v>
      </c>
      <c r="F34" s="52">
        <f>F30-F32-F33</f>
        <v>126400</v>
      </c>
      <c r="G34" s="52">
        <f>G30-G32-G33</f>
        <v>139600</v>
      </c>
      <c r="H34" s="52">
        <f>H30-H32-H33</f>
        <v>83000</v>
      </c>
      <c r="I34" s="52">
        <f>I30-I32-I33</f>
        <v>11500</v>
      </c>
      <c r="J34" s="52">
        <f>J30-J32-J33</f>
        <v>6500</v>
      </c>
      <c r="K34" s="52">
        <f>K30-K32-K33</f>
        <v>42900</v>
      </c>
      <c r="L34" s="52">
        <f>L30-L32-L33</f>
        <v>61300</v>
      </c>
      <c r="M34" s="52">
        <f>M30-M32-M33</f>
        <v>0</v>
      </c>
      <c r="N34" s="52">
        <f>N30-N32-N33</f>
        <v>0</v>
      </c>
      <c r="O34" s="52">
        <f>O30-O32-O33</f>
        <v>747700</v>
      </c>
      <c r="P34" s="52">
        <f>P30-P32-P33</f>
        <v>747700</v>
      </c>
    </row>
    <row r="35">
      <c r="B35" s="47" t="inlineStr">
        <is>
          <t xml:space="preserve">  Net margin %</t>
        </is>
      </c>
      <c r="C35" s="53">
        <f>IF(C11=0,0,C34/C11)</f>
        <v>0.101090604026846</v>
      </c>
      <c r="D35" s="53">
        <f>IF(D11=0,0,D34/D11)</f>
        <v>0.113869400971398</v>
      </c>
      <c r="E35" s="53">
        <f>IF(E11=0,0,E34/E11)</f>
        <v>0.145688921318254</v>
      </c>
      <c r="F35" s="53">
        <f>IF(F11=0,0,F34/F11)</f>
        <v>0.153137872546644</v>
      </c>
      <c r="G35" s="53">
        <f>IF(G11=0,0,G34/G11)</f>
        <v>0.162741897878293</v>
      </c>
      <c r="H35" s="53">
        <f>IF(H11=0,0,H34/H11)</f>
        <v>0.108567691301504</v>
      </c>
      <c r="I35" s="53">
        <f>IF(I11=0,0,I34/I11)</f>
        <v>0.0172129920670558</v>
      </c>
      <c r="J35" s="53">
        <f>IF(J11=0,0,J34/J11)</f>
        <v>0.00948074679113186</v>
      </c>
      <c r="K35" s="53">
        <f>IF(K11=0,0,K34/K11)</f>
        <v>0.0563731931668857</v>
      </c>
      <c r="L35" s="53">
        <f>IF(L11=0,0,L34/L11)</f>
        <v>0.0758569483974756</v>
      </c>
      <c r="M35" s="53">
        <f>IF(M11=0,0,M34/M11)</f>
        <v>0</v>
      </c>
      <c r="N35" s="53">
        <f>IF(N11=0,0,N34/N11)</f>
        <v>0</v>
      </c>
      <c r="O35" s="53">
        <f>IF(O11=0,0,O34/O11)</f>
        <v>0.0977487841865816</v>
      </c>
      <c r="P35" s="53">
        <f>IF(P11=0,0,P34/P11)</f>
        <v>0.0977487841865816</v>
      </c>
    </row>
    <row r="36">
      <c r="B36" s="21" t="inlineStr">
        <is>
          <t>Check: revenue − all costs − net profit (must be 0)</t>
        </is>
      </c>
      <c r="C36" s="54">
        <f>ROUND(C11-C16-C29-C32-C33-C34,2)</f>
        <v>0</v>
      </c>
      <c r="D36" s="54">
        <f>ROUND(D11-D16-D29-D32-D33-D34,2)</f>
        <v>0</v>
      </c>
      <c r="E36" s="54">
        <f>ROUND(E11-E16-E29-E32-E33-E34,2)</f>
        <v>0</v>
      </c>
      <c r="F36" s="54">
        <f>ROUND(F11-F16-F29-F32-F33-F34,2)</f>
        <v>0</v>
      </c>
      <c r="G36" s="54">
        <f>ROUND(G11-G16-G29-G32-G33-G34,2)</f>
        <v>0</v>
      </c>
      <c r="H36" s="54">
        <f>ROUND(H11-H16-H29-H32-H33-H34,2)</f>
        <v>0</v>
      </c>
      <c r="I36" s="54">
        <f>ROUND(I11-I16-I29-I32-I33-I34,2)</f>
        <v>0</v>
      </c>
      <c r="J36" s="54">
        <f>ROUND(J11-J16-J29-J32-J33-J34,2)</f>
        <v>0</v>
      </c>
      <c r="K36" s="54">
        <f>ROUND(K11-K16-K29-K32-K33-K34,2)</f>
        <v>0</v>
      </c>
      <c r="L36" s="54">
        <f>ROUND(L11-L16-L29-L32-L33-L34,2)</f>
        <v>0</v>
      </c>
      <c r="M36" s="54">
        <f>ROUND(M11-M16-M29-M32-M33-M34,2)</f>
        <v>0</v>
      </c>
      <c r="N36" s="54">
        <f>ROUND(N11-N16-N29-N32-N33-N34,2)</f>
        <v>0</v>
      </c>
      <c r="O36" s="54">
        <f>ROUND(O11-O16-O29-O32-O33-O34,2)</f>
        <v>0</v>
      </c>
      <c r="P36" s="54">
        <f>ROUND(P11-P16-P29-P32-P33-P34,2)</f>
        <v>0</v>
      </c>
    </row>
    <row r="38">
      <c r="B38" s="19" t="inlineStr">
        <is>
          <t>axcellservice.com · Free template · Book a free 30-minute consultation: axcellservice.com/contact</t>
        </is>
      </c>
    </row>
  </sheetData>
  <conditionalFormatting sqref="C36:P36">
    <cfRule type="cellIs" priority="1" operator="notEqual" dxfId="2">
      <formula>0</formula>
    </cfRule>
  </conditionalFormatting>
  <dataValidations count="1">
    <dataValidation sqref="C8 C9 C10 C13 C14 C15 C20 C21 C22 C23 C24 C25 C26 C27 C28 C32 C33 D8 D9 D10 D13 D14 D15 D20 D21 D22 D23 D24 D25 D26 D27 D28 D32 D33 E8 E9 E10 E13 E14 E15 E20 E21 E22 E23 E24 E25 E26 E27 E28 E32 E33 F8 F9 F10 F13 F14 F15 F20 F21 F22 F23 F24 F25 F26 F27 F28 F32 F33 G8 G9 G10 G13 G14 G15 G20 G21 G22 G23 G24 G25 G26 G27 G28 G32 G33 H8 H9 H10 H13 H14 H15 H20 H21 H22 H23 H24 H25 H26 H27 H28 H32 H33 I8 I9 I10 I13 I14 I15 I20 I21 I22 I23 I24 I25 I26 I27 I28 I32 I33 J8 J9 J10 J13 J14 J15 J20 J21 J22 J23 J24 J25 J26 J27 J28 J32 J33 K8 K9 K10 K13 K14 K15 K20 K21 K22 K23 K24 K25 K26 K27 K28 K32 K33 L8 L9 L10 L13 L14 L15 L20 L21 L22 L23 L24 L25 L26 L27 L28 L32 L33 M8 M9 M10 M13 M14 M15 M20 M21 M22 M23 M24 M25 M26 M27 M28 M32 M33 N8 N9 N10 N13 N14 N15 N20 N21 N22 N23 N24 N25 N26 N27 N28 N32 N33" showDropDown="0" showInputMessage="0" showErrorMessage="1" allowBlank="0" errorTitle="Positive numbers" error="Enter revenue and costs as positive numbers. Use a negative only for a credit note or reversal." type="decimal" errorStyle="warning" operator="greaterThanOrEqual">
      <formula1>0</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P38"/>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4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4" customWidth="1" min="15" max="15"/>
    <col width="14" customWidth="1" min="16" max="16"/>
  </cols>
  <sheetData>
    <row r="1" ht="26" customHeight="1">
      <c r="B1" s="20" t="inlineStr">
        <is>
          <t>Budget P&amp;L by month</t>
        </is>
      </c>
    </row>
    <row r="2">
      <c r="B2" s="21" t="inlineStr">
        <is>
          <t>Axcell Financial Consulting · Monthly P&amp;L template</t>
        </is>
      </c>
    </row>
    <row r="3">
      <c r="B3" s="18" t="str">
        <f>"Amounts in "&amp;'Start here'!$C$21&amp;". Enter your plan for all 12 months. Example figures shown."</f>
        <v>Amounts in Your currency. Enter your plan for all 12 months. Example figures shown.</v>
      </c>
    </row>
    <row r="5" ht="30" customHeight="1">
      <c r="B5" s="37" t="inlineStr">
        <is>
          <t>Line item</t>
        </is>
      </c>
      <c r="C5" s="49">
        <f>'Start here'!$C$22</f>
        <v>46023</v>
      </c>
      <c r="D5" s="49">
        <f>EDATE(C5,1)</f>
        <v>46054</v>
      </c>
      <c r="E5" s="49">
        <f>EDATE(C5,2)</f>
        <v>46082</v>
      </c>
      <c r="F5" s="49">
        <f>EDATE(C5,3)</f>
        <v>46113</v>
      </c>
      <c r="G5" s="49">
        <f>EDATE(C5,4)</f>
        <v>46143</v>
      </c>
      <c r="H5" s="49">
        <f>EDATE(C5,5)</f>
        <v>46174</v>
      </c>
      <c r="I5" s="49">
        <f>EDATE(C5,6)</f>
        <v>46204</v>
      </c>
      <c r="J5" s="49">
        <f>EDATE(C5,7)</f>
        <v>46235</v>
      </c>
      <c r="K5" s="49">
        <f>EDATE(C5,8)</f>
        <v>46266</v>
      </c>
      <c r="L5" s="49">
        <f>EDATE(C5,9)</f>
        <v>46296</v>
      </c>
      <c r="M5" s="49">
        <f>EDATE(C5,10)</f>
        <v>46327</v>
      </c>
      <c r="N5" s="49">
        <f>EDATE(C5,11)</f>
        <v>46357</v>
      </c>
      <c r="O5" s="37" t="inlineStr">
        <is>
          <t>YTD to review month</t>
        </is>
      </c>
      <c r="P5" s="37" t="inlineStr">
        <is>
          <t>Full year</t>
        </is>
      </c>
    </row>
    <row r="6">
      <c r="B6" s="21" t="inlineStr">
        <is>
          <t>Month number</t>
        </is>
      </c>
      <c r="C6" s="50" t="n">
        <v>1</v>
      </c>
      <c r="D6" s="50" t="n">
        <v>2</v>
      </c>
      <c r="E6" s="50" t="n">
        <v>3</v>
      </c>
      <c r="F6" s="50" t="n">
        <v>4</v>
      </c>
      <c r="G6" s="50" t="n">
        <v>5</v>
      </c>
      <c r="H6" s="50" t="n">
        <v>6</v>
      </c>
      <c r="I6" s="50" t="n">
        <v>7</v>
      </c>
      <c r="J6" s="50" t="n">
        <v>8</v>
      </c>
      <c r="K6" s="50" t="n">
        <v>9</v>
      </c>
      <c r="L6" s="50" t="n">
        <v>10</v>
      </c>
      <c r="M6" s="50" t="n">
        <v>11</v>
      </c>
      <c r="N6" s="50" t="n">
        <v>12</v>
      </c>
    </row>
    <row r="7">
      <c r="B7" s="39" t="inlineStr">
        <is>
          <t>REVENUE</t>
        </is>
      </c>
    </row>
    <row r="8">
      <c r="B8" s="28" t="inlineStr">
        <is>
          <t xml:space="preserve">  Sales – services</t>
        </is>
      </c>
      <c r="C8" s="51" t="n">
        <v>468000</v>
      </c>
      <c r="D8" s="51" t="n">
        <v>478400</v>
      </c>
      <c r="E8" s="51" t="n">
        <v>520000</v>
      </c>
      <c r="F8" s="51" t="n">
        <v>530400</v>
      </c>
      <c r="G8" s="51" t="n">
        <v>546000</v>
      </c>
      <c r="H8" s="51" t="n">
        <v>494000</v>
      </c>
      <c r="I8" s="51" t="n">
        <v>457600</v>
      </c>
      <c r="J8" s="51" t="n">
        <v>468000</v>
      </c>
      <c r="K8" s="51" t="n">
        <v>530400</v>
      </c>
      <c r="L8" s="51" t="n">
        <v>561600</v>
      </c>
      <c r="M8" s="51" t="n">
        <v>572000</v>
      </c>
      <c r="N8" s="51" t="n">
        <v>613600</v>
      </c>
      <c r="O8" s="30">
        <f>SUMIF($C$6:$N$6,"&lt;="&amp;'Budget vs Actual'!$C$4,C8:N8)</f>
        <v>5054400</v>
      </c>
      <c r="P8" s="30">
        <f>SUM(C8:N8)</f>
        <v>6240000</v>
      </c>
    </row>
    <row r="9">
      <c r="B9" s="28" t="inlineStr">
        <is>
          <t xml:space="preserve">  Sales – products</t>
        </is>
      </c>
      <c r="C9" s="51" t="n">
        <v>252000</v>
      </c>
      <c r="D9" s="51" t="n">
        <v>257600</v>
      </c>
      <c r="E9" s="51" t="n">
        <v>280000</v>
      </c>
      <c r="F9" s="51" t="n">
        <v>285600</v>
      </c>
      <c r="G9" s="51" t="n">
        <v>294000</v>
      </c>
      <c r="H9" s="51" t="n">
        <v>266000</v>
      </c>
      <c r="I9" s="51" t="n">
        <v>246400</v>
      </c>
      <c r="J9" s="51" t="n">
        <v>252000</v>
      </c>
      <c r="K9" s="51" t="n">
        <v>285600</v>
      </c>
      <c r="L9" s="51" t="n">
        <v>302400</v>
      </c>
      <c r="M9" s="51" t="n">
        <v>308000</v>
      </c>
      <c r="N9" s="51" t="n">
        <v>330400</v>
      </c>
      <c r="O9" s="30">
        <f>SUMIF($C$6:$N$6,"&lt;="&amp;'Budget vs Actual'!$C$4,C9:N9)</f>
        <v>2721600</v>
      </c>
      <c r="P9" s="30">
        <f>SUM(C9:N9)</f>
        <v>3360000</v>
      </c>
    </row>
    <row r="10">
      <c r="B10" s="28" t="inlineStr">
        <is>
          <t xml:space="preserve">  Other revenue</t>
        </is>
      </c>
      <c r="C10" s="51" t="n">
        <v>5000</v>
      </c>
      <c r="D10" s="51" t="n">
        <v>5000</v>
      </c>
      <c r="E10" s="51" t="n">
        <v>5000</v>
      </c>
      <c r="F10" s="51" t="n">
        <v>5000</v>
      </c>
      <c r="G10" s="51" t="n">
        <v>5000</v>
      </c>
      <c r="H10" s="51" t="n">
        <v>5000</v>
      </c>
      <c r="I10" s="51" t="n">
        <v>5000</v>
      </c>
      <c r="J10" s="51" t="n">
        <v>5000</v>
      </c>
      <c r="K10" s="51" t="n">
        <v>5000</v>
      </c>
      <c r="L10" s="51" t="n">
        <v>5000</v>
      </c>
      <c r="M10" s="51" t="n">
        <v>5000</v>
      </c>
      <c r="N10" s="51" t="n">
        <v>5000</v>
      </c>
      <c r="O10" s="30">
        <f>SUMIF($C$6:$N$6,"&lt;="&amp;'Budget vs Actual'!$C$4,C10:N10)</f>
        <v>50000</v>
      </c>
      <c r="P10" s="30">
        <f>SUM(C10:N10)</f>
        <v>60000</v>
      </c>
    </row>
    <row r="11">
      <c r="B11" s="43" t="inlineStr">
        <is>
          <t>Total revenue</t>
        </is>
      </c>
      <c r="C11" s="52">
        <f>SUM(C8:C10)</f>
        <v>725000</v>
      </c>
      <c r="D11" s="52">
        <f>SUM(D8:D10)</f>
        <v>741000</v>
      </c>
      <c r="E11" s="52">
        <f>SUM(E8:E10)</f>
        <v>805000</v>
      </c>
      <c r="F11" s="52">
        <f>SUM(F8:F10)</f>
        <v>821000</v>
      </c>
      <c r="G11" s="52">
        <f>SUM(G8:G10)</f>
        <v>845000</v>
      </c>
      <c r="H11" s="52">
        <f>SUM(H8:H10)</f>
        <v>765000</v>
      </c>
      <c r="I11" s="52">
        <f>SUM(I8:I10)</f>
        <v>709000</v>
      </c>
      <c r="J11" s="52">
        <f>SUM(J8:J10)</f>
        <v>725000</v>
      </c>
      <c r="K11" s="52">
        <f>SUM(K8:K10)</f>
        <v>821000</v>
      </c>
      <c r="L11" s="52">
        <f>SUM(L8:L10)</f>
        <v>869000</v>
      </c>
      <c r="M11" s="52">
        <f>SUM(M8:M10)</f>
        <v>885000</v>
      </c>
      <c r="N11" s="52">
        <f>SUM(N8:N10)</f>
        <v>949000</v>
      </c>
      <c r="O11" s="52">
        <f>SUM(O8:O10)</f>
        <v>7826000</v>
      </c>
      <c r="P11" s="52">
        <f>SUM(P8:P10)</f>
        <v>9660000</v>
      </c>
    </row>
    <row r="12">
      <c r="B12" s="39" t="inlineStr">
        <is>
          <t>COST OF SALES</t>
        </is>
      </c>
    </row>
    <row r="13">
      <c r="B13" s="28" t="inlineStr">
        <is>
          <t xml:space="preserve">  Direct materials / purchases</t>
        </is>
      </c>
      <c r="C13" s="51" t="n">
        <v>138600</v>
      </c>
      <c r="D13" s="51" t="n">
        <v>141700</v>
      </c>
      <c r="E13" s="51" t="n">
        <v>154000</v>
      </c>
      <c r="F13" s="51" t="n">
        <v>157100</v>
      </c>
      <c r="G13" s="51" t="n">
        <v>161700</v>
      </c>
      <c r="H13" s="51" t="n">
        <v>146300</v>
      </c>
      <c r="I13" s="51" t="n">
        <v>135500</v>
      </c>
      <c r="J13" s="51" t="n">
        <v>138600</v>
      </c>
      <c r="K13" s="51" t="n">
        <v>157100</v>
      </c>
      <c r="L13" s="51" t="n">
        <v>166300</v>
      </c>
      <c r="M13" s="51" t="n">
        <v>169400</v>
      </c>
      <c r="N13" s="51" t="n">
        <v>181700</v>
      </c>
      <c r="O13" s="30">
        <f>SUMIF($C$6:$N$6,"&lt;="&amp;'Budget vs Actual'!$C$4,C13:N13)</f>
        <v>1496900</v>
      </c>
      <c r="P13" s="30">
        <f>SUM(C13:N13)</f>
        <v>1848000</v>
      </c>
    </row>
    <row r="14">
      <c r="B14" s="28" t="inlineStr">
        <is>
          <t xml:space="preserve">  Direct labour</t>
        </is>
      </c>
      <c r="C14" s="51" t="n">
        <v>140400</v>
      </c>
      <c r="D14" s="51" t="n">
        <v>143500</v>
      </c>
      <c r="E14" s="51" t="n">
        <v>156000</v>
      </c>
      <c r="F14" s="51" t="n">
        <v>159100</v>
      </c>
      <c r="G14" s="51" t="n">
        <v>163800</v>
      </c>
      <c r="H14" s="51" t="n">
        <v>148200</v>
      </c>
      <c r="I14" s="51" t="n">
        <v>137300</v>
      </c>
      <c r="J14" s="51" t="n">
        <v>140400</v>
      </c>
      <c r="K14" s="51" t="n">
        <v>159100</v>
      </c>
      <c r="L14" s="51" t="n">
        <v>168500</v>
      </c>
      <c r="M14" s="51" t="n">
        <v>171600</v>
      </c>
      <c r="N14" s="51" t="n">
        <v>184100</v>
      </c>
      <c r="O14" s="30">
        <f>SUMIF($C$6:$N$6,"&lt;="&amp;'Budget vs Actual'!$C$4,C14:N14)</f>
        <v>1516300</v>
      </c>
      <c r="P14" s="30">
        <f>SUM(C14:N14)</f>
        <v>1872000</v>
      </c>
    </row>
    <row r="15">
      <c r="B15" s="28" t="inlineStr">
        <is>
          <t xml:space="preserve">  Other direct costs</t>
        </is>
      </c>
      <c r="C15" s="51" t="n">
        <v>21600</v>
      </c>
      <c r="D15" s="51" t="n">
        <v>22100</v>
      </c>
      <c r="E15" s="51" t="n">
        <v>24000</v>
      </c>
      <c r="F15" s="51" t="n">
        <v>24500</v>
      </c>
      <c r="G15" s="51" t="n">
        <v>25200</v>
      </c>
      <c r="H15" s="51" t="n">
        <v>22800</v>
      </c>
      <c r="I15" s="51" t="n">
        <v>21100</v>
      </c>
      <c r="J15" s="51" t="n">
        <v>21600</v>
      </c>
      <c r="K15" s="51" t="n">
        <v>24500</v>
      </c>
      <c r="L15" s="51" t="n">
        <v>25900</v>
      </c>
      <c r="M15" s="51" t="n">
        <v>26400</v>
      </c>
      <c r="N15" s="51" t="n">
        <v>28300</v>
      </c>
      <c r="O15" s="30">
        <f>SUMIF($C$6:$N$6,"&lt;="&amp;'Budget vs Actual'!$C$4,C15:N15)</f>
        <v>233300</v>
      </c>
      <c r="P15" s="30">
        <f>SUM(C15:N15)</f>
        <v>288000</v>
      </c>
    </row>
    <row r="16">
      <c r="B16" s="43" t="inlineStr">
        <is>
          <t>Total cost of sales</t>
        </is>
      </c>
      <c r="C16" s="52">
        <f>SUM(C13:C15)</f>
        <v>300600</v>
      </c>
      <c r="D16" s="52">
        <f>SUM(D13:D15)</f>
        <v>307300</v>
      </c>
      <c r="E16" s="52">
        <f>SUM(E13:E15)</f>
        <v>334000</v>
      </c>
      <c r="F16" s="52">
        <f>SUM(F13:F15)</f>
        <v>340700</v>
      </c>
      <c r="G16" s="52">
        <f>SUM(G13:G15)</f>
        <v>350700</v>
      </c>
      <c r="H16" s="52">
        <f>SUM(H13:H15)</f>
        <v>317300</v>
      </c>
      <c r="I16" s="52">
        <f>SUM(I13:I15)</f>
        <v>293900</v>
      </c>
      <c r="J16" s="52">
        <f>SUM(J13:J15)</f>
        <v>300600</v>
      </c>
      <c r="K16" s="52">
        <f>SUM(K13:K15)</f>
        <v>340700</v>
      </c>
      <c r="L16" s="52">
        <f>SUM(L13:L15)</f>
        <v>360700</v>
      </c>
      <c r="M16" s="52">
        <f>SUM(M13:M15)</f>
        <v>367400</v>
      </c>
      <c r="N16" s="52">
        <f>SUM(N13:N15)</f>
        <v>394100</v>
      </c>
      <c r="O16" s="52">
        <f>SUM(O13:O15)</f>
        <v>3246500</v>
      </c>
      <c r="P16" s="52">
        <f>SUM(P13:P15)</f>
        <v>4008000</v>
      </c>
    </row>
    <row r="17">
      <c r="B17" s="43" t="inlineStr">
        <is>
          <t>GROSS PROFIT</t>
        </is>
      </c>
      <c r="C17" s="52">
        <f>C11-C16</f>
        <v>424400</v>
      </c>
      <c r="D17" s="52">
        <f>D11-D16</f>
        <v>433700</v>
      </c>
      <c r="E17" s="52">
        <f>E11-E16</f>
        <v>471000</v>
      </c>
      <c r="F17" s="52">
        <f>F11-F16</f>
        <v>480300</v>
      </c>
      <c r="G17" s="52">
        <f>G11-G16</f>
        <v>494300</v>
      </c>
      <c r="H17" s="52">
        <f>H11-H16</f>
        <v>447700</v>
      </c>
      <c r="I17" s="52">
        <f>I11-I16</f>
        <v>415100</v>
      </c>
      <c r="J17" s="52">
        <f>J11-J16</f>
        <v>424400</v>
      </c>
      <c r="K17" s="52">
        <f>K11-K16</f>
        <v>480300</v>
      </c>
      <c r="L17" s="52">
        <f>L11-L16</f>
        <v>508300</v>
      </c>
      <c r="M17" s="52">
        <f>M11-M16</f>
        <v>517600</v>
      </c>
      <c r="N17" s="52">
        <f>N11-N16</f>
        <v>554900</v>
      </c>
      <c r="O17" s="52">
        <f>O11-O16</f>
        <v>4579500</v>
      </c>
      <c r="P17" s="52">
        <f>P11-P16</f>
        <v>5652000</v>
      </c>
    </row>
    <row r="18">
      <c r="B18" s="47" t="inlineStr">
        <is>
          <t xml:space="preserve">  Gross margin %</t>
        </is>
      </c>
      <c r="C18" s="53">
        <f>IF(C11=0,0,C17/C11)</f>
        <v>0.585379310344828</v>
      </c>
      <c r="D18" s="53">
        <f>IF(D11=0,0,D17/D11)</f>
        <v>0.585290148448043</v>
      </c>
      <c r="E18" s="53">
        <f>IF(E11=0,0,E17/E11)</f>
        <v>0.585093167701863</v>
      </c>
      <c r="F18" s="53">
        <f>IF(F11=0,0,F17/F11)</f>
        <v>0.585018270401949</v>
      </c>
      <c r="G18" s="53">
        <f>IF(G11=0,0,G17/G11)</f>
        <v>0.584970414201184</v>
      </c>
      <c r="H18" s="53">
        <f>IF(H11=0,0,H17/H11)</f>
        <v>0.585228758169935</v>
      </c>
      <c r="I18" s="53">
        <f>IF(I11=0,0,I17/I11)</f>
        <v>0.585472496473907</v>
      </c>
      <c r="J18" s="53">
        <f>IF(J11=0,0,J17/J11)</f>
        <v>0.585379310344828</v>
      </c>
      <c r="K18" s="53">
        <f>IF(K11=0,0,K17/K11)</f>
        <v>0.585018270401949</v>
      </c>
      <c r="L18" s="53">
        <f>IF(L11=0,0,L17/L11)</f>
        <v>0.584925201380898</v>
      </c>
      <c r="M18" s="53">
        <f>IF(M11=0,0,M17/M11)</f>
        <v>0.584858757062147</v>
      </c>
      <c r="N18" s="53">
        <f>IF(N11=0,0,N17/N11)</f>
        <v>0.584720758693362</v>
      </c>
      <c r="O18" s="53">
        <f>IF(O11=0,0,O17/O11)</f>
        <v>0.585164835164835</v>
      </c>
      <c r="P18" s="53">
        <f>IF(P11=0,0,P17/P11)</f>
        <v>0.585093167701863</v>
      </c>
    </row>
    <row r="19">
      <c r="B19" s="39" t="inlineStr">
        <is>
          <t>OPERATING EXPENSES</t>
        </is>
      </c>
    </row>
    <row r="20">
      <c r="B20" s="28" t="inlineStr">
        <is>
          <t xml:space="preserve">  Salaries and benefits</t>
        </is>
      </c>
      <c r="C20" s="51" t="n">
        <v>220000</v>
      </c>
      <c r="D20" s="51" t="n">
        <v>220000</v>
      </c>
      <c r="E20" s="51" t="n">
        <v>220000</v>
      </c>
      <c r="F20" s="51" t="n">
        <v>220000</v>
      </c>
      <c r="G20" s="51" t="n">
        <v>220000</v>
      </c>
      <c r="H20" s="51" t="n">
        <v>220000</v>
      </c>
      <c r="I20" s="51" t="n">
        <v>220000</v>
      </c>
      <c r="J20" s="51" t="n">
        <v>220000</v>
      </c>
      <c r="K20" s="51" t="n">
        <v>220000</v>
      </c>
      <c r="L20" s="51" t="n">
        <v>220000</v>
      </c>
      <c r="M20" s="51" t="n">
        <v>220000</v>
      </c>
      <c r="N20" s="51" t="n">
        <v>220000</v>
      </c>
      <c r="O20" s="30">
        <f>SUMIF($C$6:$N$6,"&lt;="&amp;'Budget vs Actual'!$C$4,C20:N20)</f>
        <v>2200000</v>
      </c>
      <c r="P20" s="30">
        <f>SUM(C20:N20)</f>
        <v>2640000</v>
      </c>
    </row>
    <row r="21">
      <c r="B21" s="28" t="inlineStr">
        <is>
          <t xml:space="preserve">  Rent</t>
        </is>
      </c>
      <c r="C21" s="51" t="n">
        <v>45000</v>
      </c>
      <c r="D21" s="51" t="n">
        <v>45000</v>
      </c>
      <c r="E21" s="51" t="n">
        <v>45000</v>
      </c>
      <c r="F21" s="51" t="n">
        <v>45000</v>
      </c>
      <c r="G21" s="51" t="n">
        <v>45000</v>
      </c>
      <c r="H21" s="51" t="n">
        <v>45000</v>
      </c>
      <c r="I21" s="51" t="n">
        <v>45000</v>
      </c>
      <c r="J21" s="51" t="n">
        <v>45000</v>
      </c>
      <c r="K21" s="51" t="n">
        <v>45000</v>
      </c>
      <c r="L21" s="51" t="n">
        <v>45000</v>
      </c>
      <c r="M21" s="51" t="n">
        <v>45000</v>
      </c>
      <c r="N21" s="51" t="n">
        <v>45000</v>
      </c>
      <c r="O21" s="30">
        <f>SUMIF($C$6:$N$6,"&lt;="&amp;'Budget vs Actual'!$C$4,C21:N21)</f>
        <v>450000</v>
      </c>
      <c r="P21" s="30">
        <f>SUM(C21:N21)</f>
        <v>540000</v>
      </c>
    </row>
    <row r="22">
      <c r="B22" s="28" t="inlineStr">
        <is>
          <t xml:space="preserve">  Utilities</t>
        </is>
      </c>
      <c r="C22" s="51" t="n">
        <v>6000</v>
      </c>
      <c r="D22" s="51" t="n">
        <v>6000</v>
      </c>
      <c r="E22" s="51" t="n">
        <v>6000</v>
      </c>
      <c r="F22" s="51" t="n">
        <v>6000</v>
      </c>
      <c r="G22" s="51" t="n">
        <v>6000</v>
      </c>
      <c r="H22" s="51" t="n">
        <v>6000</v>
      </c>
      <c r="I22" s="51" t="n">
        <v>6000</v>
      </c>
      <c r="J22" s="51" t="n">
        <v>6000</v>
      </c>
      <c r="K22" s="51" t="n">
        <v>6000</v>
      </c>
      <c r="L22" s="51" t="n">
        <v>6000</v>
      </c>
      <c r="M22" s="51" t="n">
        <v>6000</v>
      </c>
      <c r="N22" s="51" t="n">
        <v>6000</v>
      </c>
      <c r="O22" s="30">
        <f>SUMIF($C$6:$N$6,"&lt;="&amp;'Budget vs Actual'!$C$4,C22:N22)</f>
        <v>60000</v>
      </c>
      <c r="P22" s="30">
        <f>SUM(C22:N22)</f>
        <v>72000</v>
      </c>
    </row>
    <row r="23">
      <c r="B23" s="28" t="inlineStr">
        <is>
          <t xml:space="preserve">  Marketing</t>
        </is>
      </c>
      <c r="C23" s="51" t="n">
        <v>30000</v>
      </c>
      <c r="D23" s="51" t="n">
        <v>30000</v>
      </c>
      <c r="E23" s="51" t="n">
        <v>30000</v>
      </c>
      <c r="F23" s="51" t="n">
        <v>30000</v>
      </c>
      <c r="G23" s="51" t="n">
        <v>30000</v>
      </c>
      <c r="H23" s="51" t="n">
        <v>30000</v>
      </c>
      <c r="I23" s="51" t="n">
        <v>30000</v>
      </c>
      <c r="J23" s="51" t="n">
        <v>30000</v>
      </c>
      <c r="K23" s="51" t="n">
        <v>30000</v>
      </c>
      <c r="L23" s="51" t="n">
        <v>30000</v>
      </c>
      <c r="M23" s="51" t="n">
        <v>30000</v>
      </c>
      <c r="N23" s="51" t="n">
        <v>30000</v>
      </c>
      <c r="O23" s="30">
        <f>SUMIF($C$6:$N$6,"&lt;="&amp;'Budget vs Actual'!$C$4,C23:N23)</f>
        <v>300000</v>
      </c>
      <c r="P23" s="30">
        <f>SUM(C23:N23)</f>
        <v>360000</v>
      </c>
    </row>
    <row r="24">
      <c r="B24" s="28" t="inlineStr">
        <is>
          <t xml:space="preserve">  Professional fees</t>
        </is>
      </c>
      <c r="C24" s="51" t="n">
        <v>8000</v>
      </c>
      <c r="D24" s="51" t="n">
        <v>8000</v>
      </c>
      <c r="E24" s="51" t="n">
        <v>8000</v>
      </c>
      <c r="F24" s="51" t="n">
        <v>8000</v>
      </c>
      <c r="G24" s="51" t="n">
        <v>8000</v>
      </c>
      <c r="H24" s="51" t="n">
        <v>8000</v>
      </c>
      <c r="I24" s="51" t="n">
        <v>8000</v>
      </c>
      <c r="J24" s="51" t="n">
        <v>8000</v>
      </c>
      <c r="K24" s="51" t="n">
        <v>8000</v>
      </c>
      <c r="L24" s="51" t="n">
        <v>8000</v>
      </c>
      <c r="M24" s="51" t="n">
        <v>8000</v>
      </c>
      <c r="N24" s="51" t="n">
        <v>8000</v>
      </c>
      <c r="O24" s="30">
        <f>SUMIF($C$6:$N$6,"&lt;="&amp;'Budget vs Actual'!$C$4,C24:N24)</f>
        <v>80000</v>
      </c>
      <c r="P24" s="30">
        <f>SUM(C24:N24)</f>
        <v>96000</v>
      </c>
    </row>
    <row r="25">
      <c r="B25" s="28" t="inlineStr">
        <is>
          <t xml:space="preserve">  Office and admin supplies</t>
        </is>
      </c>
      <c r="C25" s="51" t="n">
        <v>3000</v>
      </c>
      <c r="D25" s="51" t="n">
        <v>3000</v>
      </c>
      <c r="E25" s="51" t="n">
        <v>3000</v>
      </c>
      <c r="F25" s="51" t="n">
        <v>3000</v>
      </c>
      <c r="G25" s="51" t="n">
        <v>3000</v>
      </c>
      <c r="H25" s="51" t="n">
        <v>3000</v>
      </c>
      <c r="I25" s="51" t="n">
        <v>3000</v>
      </c>
      <c r="J25" s="51" t="n">
        <v>3000</v>
      </c>
      <c r="K25" s="51" t="n">
        <v>3000</v>
      </c>
      <c r="L25" s="51" t="n">
        <v>3000</v>
      </c>
      <c r="M25" s="51" t="n">
        <v>3000</v>
      </c>
      <c r="N25" s="51" t="n">
        <v>3000</v>
      </c>
      <c r="O25" s="30">
        <f>SUMIF($C$6:$N$6,"&lt;="&amp;'Budget vs Actual'!$C$4,C25:N25)</f>
        <v>30000</v>
      </c>
      <c r="P25" s="30">
        <f>SUM(C25:N25)</f>
        <v>36000</v>
      </c>
    </row>
    <row r="26">
      <c r="B26" s="28" t="inlineStr">
        <is>
          <t xml:space="preserve">  Insurance</t>
        </is>
      </c>
      <c r="C26" s="51" t="n">
        <v>4000</v>
      </c>
      <c r="D26" s="51" t="n">
        <v>4000</v>
      </c>
      <c r="E26" s="51" t="n">
        <v>4000</v>
      </c>
      <c r="F26" s="51" t="n">
        <v>4000</v>
      </c>
      <c r="G26" s="51" t="n">
        <v>4000</v>
      </c>
      <c r="H26" s="51" t="n">
        <v>4000</v>
      </c>
      <c r="I26" s="51" t="n">
        <v>4000</v>
      </c>
      <c r="J26" s="51" t="n">
        <v>4000</v>
      </c>
      <c r="K26" s="51" t="n">
        <v>4000</v>
      </c>
      <c r="L26" s="51" t="n">
        <v>4000</v>
      </c>
      <c r="M26" s="51" t="n">
        <v>4000</v>
      </c>
      <c r="N26" s="51" t="n">
        <v>4000</v>
      </c>
      <c r="O26" s="30">
        <f>SUMIF($C$6:$N$6,"&lt;="&amp;'Budget vs Actual'!$C$4,C26:N26)</f>
        <v>40000</v>
      </c>
      <c r="P26" s="30">
        <f>SUM(C26:N26)</f>
        <v>48000</v>
      </c>
    </row>
    <row r="27">
      <c r="B27" s="28" t="inlineStr">
        <is>
          <t xml:space="preserve">  Depreciation</t>
        </is>
      </c>
      <c r="C27" s="51" t="n">
        <v>12000</v>
      </c>
      <c r="D27" s="51" t="n">
        <v>12000</v>
      </c>
      <c r="E27" s="51" t="n">
        <v>12000</v>
      </c>
      <c r="F27" s="51" t="n">
        <v>12000</v>
      </c>
      <c r="G27" s="51" t="n">
        <v>12000</v>
      </c>
      <c r="H27" s="51" t="n">
        <v>12000</v>
      </c>
      <c r="I27" s="51" t="n">
        <v>12000</v>
      </c>
      <c r="J27" s="51" t="n">
        <v>12000</v>
      </c>
      <c r="K27" s="51" t="n">
        <v>12000</v>
      </c>
      <c r="L27" s="51" t="n">
        <v>12000</v>
      </c>
      <c r="M27" s="51" t="n">
        <v>12000</v>
      </c>
      <c r="N27" s="51" t="n">
        <v>12000</v>
      </c>
      <c r="O27" s="30">
        <f>SUMIF($C$6:$N$6,"&lt;="&amp;'Budget vs Actual'!$C$4,C27:N27)</f>
        <v>120000</v>
      </c>
      <c r="P27" s="30">
        <f>SUM(C27:N27)</f>
        <v>144000</v>
      </c>
    </row>
    <row r="28">
      <c r="B28" s="28" t="inlineStr">
        <is>
          <t xml:space="preserve">  Other operating expenses</t>
        </is>
      </c>
      <c r="C28" s="51" t="n">
        <v>7000</v>
      </c>
      <c r="D28" s="51" t="n">
        <v>7000</v>
      </c>
      <c r="E28" s="51" t="n">
        <v>7000</v>
      </c>
      <c r="F28" s="51" t="n">
        <v>7000</v>
      </c>
      <c r="G28" s="51" t="n">
        <v>7000</v>
      </c>
      <c r="H28" s="51" t="n">
        <v>7000</v>
      </c>
      <c r="I28" s="51" t="n">
        <v>7000</v>
      </c>
      <c r="J28" s="51" t="n">
        <v>7000</v>
      </c>
      <c r="K28" s="51" t="n">
        <v>7000</v>
      </c>
      <c r="L28" s="51" t="n">
        <v>7000</v>
      </c>
      <c r="M28" s="51" t="n">
        <v>7000</v>
      </c>
      <c r="N28" s="51" t="n">
        <v>7000</v>
      </c>
      <c r="O28" s="30">
        <f>SUMIF($C$6:$N$6,"&lt;="&amp;'Budget vs Actual'!$C$4,C28:N28)</f>
        <v>70000</v>
      </c>
      <c r="P28" s="30">
        <f>SUM(C28:N28)</f>
        <v>84000</v>
      </c>
    </row>
    <row r="29">
      <c r="B29" s="43" t="inlineStr">
        <is>
          <t>Total operating expenses</t>
        </is>
      </c>
      <c r="C29" s="52">
        <f>SUM(C20:C28)</f>
        <v>335000</v>
      </c>
      <c r="D29" s="52">
        <f>SUM(D20:D28)</f>
        <v>335000</v>
      </c>
      <c r="E29" s="52">
        <f>SUM(E20:E28)</f>
        <v>335000</v>
      </c>
      <c r="F29" s="52">
        <f>SUM(F20:F28)</f>
        <v>335000</v>
      </c>
      <c r="G29" s="52">
        <f>SUM(G20:G28)</f>
        <v>335000</v>
      </c>
      <c r="H29" s="52">
        <f>SUM(H20:H28)</f>
        <v>335000</v>
      </c>
      <c r="I29" s="52">
        <f>SUM(I20:I28)</f>
        <v>335000</v>
      </c>
      <c r="J29" s="52">
        <f>SUM(J20:J28)</f>
        <v>335000</v>
      </c>
      <c r="K29" s="52">
        <f>SUM(K20:K28)</f>
        <v>335000</v>
      </c>
      <c r="L29" s="52">
        <f>SUM(L20:L28)</f>
        <v>335000</v>
      </c>
      <c r="M29" s="52">
        <f>SUM(M20:M28)</f>
        <v>335000</v>
      </c>
      <c r="N29" s="52">
        <f>SUM(N20:N28)</f>
        <v>335000</v>
      </c>
      <c r="O29" s="52">
        <f>SUM(O20:O28)</f>
        <v>3350000</v>
      </c>
      <c r="P29" s="52">
        <f>SUM(P20:P28)</f>
        <v>4020000</v>
      </c>
    </row>
    <row r="30">
      <c r="B30" s="43" t="inlineStr">
        <is>
          <t>OPERATING PROFIT</t>
        </is>
      </c>
      <c r="C30" s="52">
        <f>C17-C29</f>
        <v>89400</v>
      </c>
      <c r="D30" s="52">
        <f>D17-D29</f>
        <v>98700</v>
      </c>
      <c r="E30" s="52">
        <f>E17-E29</f>
        <v>136000</v>
      </c>
      <c r="F30" s="52">
        <f>F17-F29</f>
        <v>145300</v>
      </c>
      <c r="G30" s="52">
        <f>G17-G29</f>
        <v>159300</v>
      </c>
      <c r="H30" s="52">
        <f>H17-H29</f>
        <v>112700</v>
      </c>
      <c r="I30" s="52">
        <f>I17-I29</f>
        <v>80100</v>
      </c>
      <c r="J30" s="52">
        <f>J17-J29</f>
        <v>89400</v>
      </c>
      <c r="K30" s="52">
        <f>K17-K29</f>
        <v>145300</v>
      </c>
      <c r="L30" s="52">
        <f>L17-L29</f>
        <v>173300</v>
      </c>
      <c r="M30" s="52">
        <f>M17-M29</f>
        <v>182600</v>
      </c>
      <c r="N30" s="52">
        <f>N17-N29</f>
        <v>219900</v>
      </c>
      <c r="O30" s="52">
        <f>O17-O29</f>
        <v>1229500</v>
      </c>
      <c r="P30" s="52">
        <f>P17-P29</f>
        <v>1632000</v>
      </c>
    </row>
    <row r="31">
      <c r="B31" s="47" t="inlineStr">
        <is>
          <t xml:space="preserve">  Operating margin %</t>
        </is>
      </c>
      <c r="C31" s="53">
        <f>IF(C11=0,0,C30/C11)</f>
        <v>0.123310344827586</v>
      </c>
      <c r="D31" s="53">
        <f>IF(D11=0,0,D30/D11)</f>
        <v>0.133198380566802</v>
      </c>
      <c r="E31" s="53">
        <f>IF(E11=0,0,E30/E11)</f>
        <v>0.168944099378882</v>
      </c>
      <c r="F31" s="53">
        <f>IF(F11=0,0,F30/F11)</f>
        <v>0.176979293544458</v>
      </c>
      <c r="G31" s="53">
        <f>IF(G11=0,0,G30/G11)</f>
        <v>0.188520710059172</v>
      </c>
      <c r="H31" s="53">
        <f>IF(H11=0,0,H30/H11)</f>
        <v>0.147320261437909</v>
      </c>
      <c r="I31" s="53">
        <f>IF(I11=0,0,I30/I11)</f>
        <v>0.112976022566996</v>
      </c>
      <c r="J31" s="53">
        <f>IF(J11=0,0,J30/J11)</f>
        <v>0.123310344827586</v>
      </c>
      <c r="K31" s="53">
        <f>IF(K11=0,0,K30/K11)</f>
        <v>0.176979293544458</v>
      </c>
      <c r="L31" s="53">
        <f>IF(L11=0,0,L30/L11)</f>
        <v>0.199424626006905</v>
      </c>
      <c r="M31" s="53">
        <f>IF(M11=0,0,M30/M11)</f>
        <v>0.206327683615819</v>
      </c>
      <c r="N31" s="53">
        <f>IF(N11=0,0,N30/N11)</f>
        <v>0.231717597471022</v>
      </c>
      <c r="O31" s="53">
        <f>IF(O11=0,0,O30/O11)</f>
        <v>0.157104523383593</v>
      </c>
      <c r="P31" s="53">
        <f>IF(P11=0,0,P30/P11)</f>
        <v>0.168944099378882</v>
      </c>
    </row>
    <row r="32">
      <c r="B32" s="28" t="inlineStr">
        <is>
          <t xml:space="preserve">  Finance costs (interest, bank charges)</t>
        </is>
      </c>
      <c r="C32" s="51" t="n">
        <v>6000</v>
      </c>
      <c r="D32" s="51" t="n">
        <v>6000</v>
      </c>
      <c r="E32" s="51" t="n">
        <v>6000</v>
      </c>
      <c r="F32" s="51" t="n">
        <v>6000</v>
      </c>
      <c r="G32" s="51" t="n">
        <v>6000</v>
      </c>
      <c r="H32" s="51" t="n">
        <v>6000</v>
      </c>
      <c r="I32" s="51" t="n">
        <v>6000</v>
      </c>
      <c r="J32" s="51" t="n">
        <v>6000</v>
      </c>
      <c r="K32" s="51" t="n">
        <v>6000</v>
      </c>
      <c r="L32" s="51" t="n">
        <v>6000</v>
      </c>
      <c r="M32" s="51" t="n">
        <v>6000</v>
      </c>
      <c r="N32" s="51" t="n">
        <v>6000</v>
      </c>
      <c r="O32" s="30">
        <f>SUMIF($C$6:$N$6,"&lt;="&amp;'Budget vs Actual'!$C$4,C32:N32)</f>
        <v>60000</v>
      </c>
      <c r="P32" s="30">
        <f>SUM(C32:N32)</f>
        <v>72000</v>
      </c>
    </row>
    <row r="33">
      <c r="B33" s="28" t="inlineStr">
        <is>
          <t xml:space="preserve">  Income tax / Zakat (if applicable)</t>
        </is>
      </c>
      <c r="C33" s="51" t="n">
        <v>10000</v>
      </c>
      <c r="D33" s="51" t="n">
        <v>10000</v>
      </c>
      <c r="E33" s="51" t="n">
        <v>10000</v>
      </c>
      <c r="F33" s="51" t="n">
        <v>10000</v>
      </c>
      <c r="G33" s="51" t="n">
        <v>10000</v>
      </c>
      <c r="H33" s="51" t="n">
        <v>10000</v>
      </c>
      <c r="I33" s="51" t="n">
        <v>10000</v>
      </c>
      <c r="J33" s="51" t="n">
        <v>10000</v>
      </c>
      <c r="K33" s="51" t="n">
        <v>10000</v>
      </c>
      <c r="L33" s="51" t="n">
        <v>10000</v>
      </c>
      <c r="M33" s="51" t="n">
        <v>10000</v>
      </c>
      <c r="N33" s="51" t="n">
        <v>10000</v>
      </c>
      <c r="O33" s="30">
        <f>SUMIF($C$6:$N$6,"&lt;="&amp;'Budget vs Actual'!$C$4,C33:N33)</f>
        <v>100000</v>
      </c>
      <c r="P33" s="30">
        <f>SUM(C33:N33)</f>
        <v>120000</v>
      </c>
    </row>
    <row r="34">
      <c r="B34" s="43" t="inlineStr">
        <is>
          <t>NET PROFIT</t>
        </is>
      </c>
      <c r="C34" s="52">
        <f>C30-C32-C33</f>
        <v>73400</v>
      </c>
      <c r="D34" s="52">
        <f>D30-D32-D33</f>
        <v>82700</v>
      </c>
      <c r="E34" s="52">
        <f>E30-E32-E33</f>
        <v>120000</v>
      </c>
      <c r="F34" s="52">
        <f>F30-F32-F33</f>
        <v>129300</v>
      </c>
      <c r="G34" s="52">
        <f>G30-G32-G33</f>
        <v>143300</v>
      </c>
      <c r="H34" s="52">
        <f>H30-H32-H33</f>
        <v>96700</v>
      </c>
      <c r="I34" s="52">
        <f>I30-I32-I33</f>
        <v>64100</v>
      </c>
      <c r="J34" s="52">
        <f>J30-J32-J33</f>
        <v>73400</v>
      </c>
      <c r="K34" s="52">
        <f>K30-K32-K33</f>
        <v>129300</v>
      </c>
      <c r="L34" s="52">
        <f>L30-L32-L33</f>
        <v>157300</v>
      </c>
      <c r="M34" s="52">
        <f>M30-M32-M33</f>
        <v>166600</v>
      </c>
      <c r="N34" s="52">
        <f>N30-N32-N33</f>
        <v>203900</v>
      </c>
      <c r="O34" s="52">
        <f>O30-O32-O33</f>
        <v>1069500</v>
      </c>
      <c r="P34" s="52">
        <f>P30-P32-P33</f>
        <v>1440000</v>
      </c>
    </row>
    <row r="35">
      <c r="B35" s="47" t="inlineStr">
        <is>
          <t xml:space="preserve">  Net margin %</t>
        </is>
      </c>
      <c r="C35" s="53">
        <f>IF(C11=0,0,C34/C11)</f>
        <v>0.101241379310345</v>
      </c>
      <c r="D35" s="53">
        <f>IF(D11=0,0,D34/D11)</f>
        <v>0.111605937921727</v>
      </c>
      <c r="E35" s="53">
        <f>IF(E11=0,0,E34/E11)</f>
        <v>0.149068322981366</v>
      </c>
      <c r="F35" s="53">
        <f>IF(F11=0,0,F34/F11)</f>
        <v>0.157490864799026</v>
      </c>
      <c r="G35" s="53">
        <f>IF(G11=0,0,G34/G11)</f>
        <v>0.169585798816568</v>
      </c>
      <c r="H35" s="53">
        <f>IF(H11=0,0,H34/H11)</f>
        <v>0.12640522875817</v>
      </c>
      <c r="I35" s="53">
        <f>IF(I11=0,0,I34/I11)</f>
        <v>0.0904090267983075</v>
      </c>
      <c r="J35" s="53">
        <f>IF(J11=0,0,J34/J11)</f>
        <v>0.101241379310345</v>
      </c>
      <c r="K35" s="53">
        <f>IF(K11=0,0,K34/K11)</f>
        <v>0.157490864799026</v>
      </c>
      <c r="L35" s="53">
        <f>IF(L11=0,0,L34/L11)</f>
        <v>0.181012658227848</v>
      </c>
      <c r="M35" s="53">
        <f>IF(M11=0,0,M34/M11)</f>
        <v>0.188248587570621</v>
      </c>
      <c r="N35" s="53">
        <f>IF(N11=0,0,N34/N11)</f>
        <v>0.214857744994731</v>
      </c>
      <c r="O35" s="53">
        <f>IF(O11=0,0,O34/O11)</f>
        <v>0.136659851776131</v>
      </c>
      <c r="P35" s="53">
        <f>IF(P11=0,0,P34/P11)</f>
        <v>0.149068322981366</v>
      </c>
    </row>
    <row r="36">
      <c r="B36" s="21" t="inlineStr">
        <is>
          <t>Check: revenue − all costs − net profit (must be 0)</t>
        </is>
      </c>
      <c r="C36" s="54">
        <f>ROUND(C11-C16-C29-C32-C33-C34,2)</f>
        <v>0</v>
      </c>
      <c r="D36" s="54">
        <f>ROUND(D11-D16-D29-D32-D33-D34,2)</f>
        <v>0</v>
      </c>
      <c r="E36" s="54">
        <f>ROUND(E11-E16-E29-E32-E33-E34,2)</f>
        <v>0</v>
      </c>
      <c r="F36" s="54">
        <f>ROUND(F11-F16-F29-F32-F33-F34,2)</f>
        <v>0</v>
      </c>
      <c r="G36" s="54">
        <f>ROUND(G11-G16-G29-G32-G33-G34,2)</f>
        <v>0</v>
      </c>
      <c r="H36" s="54">
        <f>ROUND(H11-H16-H29-H32-H33-H34,2)</f>
        <v>0</v>
      </c>
      <c r="I36" s="54">
        <f>ROUND(I11-I16-I29-I32-I33-I34,2)</f>
        <v>0</v>
      </c>
      <c r="J36" s="54">
        <f>ROUND(J11-J16-J29-J32-J33-J34,2)</f>
        <v>0</v>
      </c>
      <c r="K36" s="54">
        <f>ROUND(K11-K16-K29-K32-K33-K34,2)</f>
        <v>0</v>
      </c>
      <c r="L36" s="54">
        <f>ROUND(L11-L16-L29-L32-L33-L34,2)</f>
        <v>0</v>
      </c>
      <c r="M36" s="54">
        <f>ROUND(M11-M16-M29-M32-M33-M34,2)</f>
        <v>0</v>
      </c>
      <c r="N36" s="54">
        <f>ROUND(N11-N16-N29-N32-N33-N34,2)</f>
        <v>0</v>
      </c>
      <c r="O36" s="54">
        <f>ROUND(O11-O16-O29-O32-O33-O34,2)</f>
        <v>0</v>
      </c>
      <c r="P36" s="54">
        <f>ROUND(P11-P16-P29-P32-P33-P34,2)</f>
        <v>0</v>
      </c>
    </row>
    <row r="38">
      <c r="B38" s="19" t="inlineStr">
        <is>
          <t>axcellservice.com · Free template · Book a free 30-minute consultation: axcellservice.com/contact</t>
        </is>
      </c>
    </row>
  </sheetData>
  <conditionalFormatting sqref="C36:P36">
    <cfRule type="cellIs" priority="1" operator="notEqual" dxfId="2">
      <formula>0</formula>
    </cfRule>
  </conditionalFormatting>
  <dataValidations count="1">
    <dataValidation sqref="C8 C9 C10 C13 C14 C15 C20 C21 C22 C23 C24 C25 C26 C27 C28 C32 C33 D8 D9 D10 D13 D14 D15 D20 D21 D22 D23 D24 D25 D26 D27 D28 D32 D33 E8 E9 E10 E13 E14 E15 E20 E21 E22 E23 E24 E25 E26 E27 E28 E32 E33 F8 F9 F10 F13 F14 F15 F20 F21 F22 F23 F24 F25 F26 F27 F28 F32 F33 G8 G9 G10 G13 G14 G15 G20 G21 G22 G23 G24 G25 G26 G27 G28 G32 G33 H8 H9 H10 H13 H14 H15 H20 H21 H22 H23 H24 H25 H26 H27 H28 H32 H33 I8 I9 I10 I13 I14 I15 I20 I21 I22 I23 I24 I25 I26 I27 I28 I32 I33 J8 J9 J10 J13 J14 J15 J20 J21 J22 J23 J24 J25 J26 J27 J28 J32 J33 K8 K9 K10 K13 K14 K15 K20 K21 K22 K23 K24 K25 K26 K27 K28 K32 K33 L8 L9 L10 L13 L14 L15 L20 L21 L22 L23 L24 L25 L26 L27 L28 L32 L33 M8 M9 M10 M13 M14 M15 M20 M21 M22 M23 M24 M25 M26 M27 M28 M32 M33 N8 N9 N10 N13 N14 N15 N20 N21 N22 N23 N24 N25 N26 N27 N28 N32 N33" showDropDown="0" showInputMessage="0" showErrorMessage="1" allowBlank="0" errorTitle="Positive numbers" error="Enter revenue and costs as positive numbers. Use a negative only for a credit note or reversal." type="decimal" errorStyle="warning" operator="greaterThanOrEqual">
      <formula1>0</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Axcell Financial Consulting</dc:creator>
  <dc:title xmlns:dc="http://purl.org/dc/elements/1.1/">Monthly P&amp;L: Budget vs Actual</dc:title>
  <dcterms:created xmlns:dcterms="http://purl.org/dc/terms/" xmlns:xsi="http://www.w3.org/2001/XMLSchema-instance" xsi:type="dcterms:W3CDTF">2026-11-05T08:48:31Z</dcterms:created>
  <dcterms:modified xmlns:dcterms="http://purl.org/dc/terms/" xmlns:xsi="http://www.w3.org/2001/XMLSchema-instance" xsi:type="dcterms:W3CDTF">2026-11-05T08:48:31Z</dcterms:modified>
</cp:coreProperties>
</file>