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sts" sheetId="2" state="visible" r:id="rId2"/>
    <sheet xmlns:r="http://schemas.openxmlformats.org/officeDocument/2006/relationships" name="Scenarios" sheetId="3" state="visible" r:id="rId3"/>
    <sheet xmlns:r="http://schemas.openxmlformats.org/officeDocument/2006/relationships" name="Sensitivity" sheetId="4" state="visible" r:id="rId4"/>
  </sheets>
  <definedNames>
    <definedName name="_xlnm.Print_Area" localSheetId="1">'Costs'!$A$1:$G$47</definedName>
    <definedName name="_xlnm.Print_Area" localSheetId="2">'Scenarios'!$A$1:$F$37</definedName>
    <definedName name="_xlnm.Print_Area" localSheetId="3">'Sensitivity'!$A$1:$J$58</definedName>
  </definedNames>
  <calcPr calcId="124519" fullCalcOnLoad="1"/>
</workbook>
</file>

<file path=xl/styles.xml><?xml version="1.0" encoding="utf-8"?>
<styleSheet xmlns="http://schemas.openxmlformats.org/spreadsheetml/2006/main">
  <numFmts count="4">
    <numFmt numFmtId="164" formatCode="#,##0.00;(#,##0.00);&quot;-&quot;"/>
    <numFmt numFmtId="165" formatCode="#,##0;(#,##0);&quot;-&quot;"/>
    <numFmt numFmtId="166" formatCode="0.0%;(0.0%);&quot;-&quot;"/>
    <numFmt numFmtId="167" formatCode="+0%;-0%;0%"/>
  </numFmts>
  <fonts count="13">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CC1923"/>
    </font>
    <font>
      <name val="Arial"/>
      <color rgb="00666666"/>
      <sz val="9"/>
    </font>
    <font>
      <name val="Arial"/>
      <i val="1"/>
      <color rgb="00666666"/>
      <sz val="9"/>
    </font>
    <font>
      <name val="Arial"/>
      <b val="1"/>
      <color rgb="00CC1923"/>
      <sz val="9"/>
    </font>
    <font>
      <name val="Arial"/>
      <b val="1"/>
      <color rgb="00CC1923"/>
      <sz val="16"/>
    </font>
  </fonts>
  <fills count="6">
    <fill>
      <patternFill/>
    </fill>
    <fill>
      <patternFill patternType="gray125"/>
    </fill>
    <fill>
      <patternFill patternType="solid">
        <fgColor rgb="00111111"/>
      </patternFill>
    </fill>
    <fill>
      <patternFill patternType="solid">
        <fgColor rgb="00FFFF99"/>
      </patternFill>
    </fill>
    <fill>
      <patternFill patternType="solid">
        <fgColor rgb="00F8D7D9"/>
      </patternFill>
    </fill>
    <fill>
      <patternFill patternType="solid">
        <fgColor rgb="00F0EEEA"/>
      </patternFill>
    </fill>
  </fills>
  <borders count="5">
    <border>
      <left/>
      <right/>
      <top/>
      <bottom/>
      <diagonal/>
    </border>
    <border>
      <bottom style="thin">
        <color rgb="00BFBFBF"/>
      </bottom>
    </border>
    <border>
      <top style="thin">
        <color rgb="00111111"/>
      </top>
      <bottom style="thin">
        <color rgb="00BFBFBF"/>
      </bottom>
    </border>
    <border>
      <left style="thin">
        <color rgb="00BFBFBF"/>
      </left>
      <right style="thin">
        <color rgb="00BFBFBF"/>
      </right>
      <top style="thin">
        <color rgb="00BFBFBF"/>
      </top>
      <bottom style="thin">
        <color rgb="00BFBFBF"/>
      </bottom>
    </border>
    <border>
      <left style="medium">
        <color rgb="00111111"/>
      </left>
      <right style="medium">
        <color rgb="00111111"/>
      </right>
      <top style="medium">
        <color rgb="00111111"/>
      </top>
      <bottom style="medium">
        <color rgb="00111111"/>
      </bottom>
    </border>
  </borders>
  <cellStyleXfs count="1">
    <xf numFmtId="0" fontId="0" fillId="0" borderId="0"/>
  </cellStyleXfs>
  <cellXfs count="6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8" fillId="4" borderId="0" applyAlignment="1" pivotButton="0" quotePrefix="0" xfId="0">
      <alignment horizontal="center"/>
    </xf>
    <xf numFmtId="0" fontId="8" fillId="0"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9" fillId="0" borderId="1" applyAlignment="1" pivotButton="0" quotePrefix="0" xfId="0">
      <alignment vertical="top" wrapText="1"/>
    </xf>
    <xf numFmtId="0" fontId="10" fillId="0" borderId="0" pivotButton="0" quotePrefix="0" xfId="0"/>
    <xf numFmtId="0" fontId="11" fillId="0" borderId="0" pivotButton="0" quotePrefix="0" xfId="0"/>
    <xf numFmtId="0" fontId="12" fillId="0" borderId="0" pivotButton="0" quotePrefix="0" xfId="0"/>
    <xf numFmtId="0" fontId="9" fillId="0" borderId="0" pivotButton="0" quotePrefix="0" xfId="0"/>
    <xf numFmtId="0" fontId="4" fillId="2" borderId="0" applyAlignment="1" pivotButton="0" quotePrefix="0" xfId="0">
      <alignment horizontal="center" vertical="center" wrapText="1"/>
    </xf>
    <xf numFmtId="0" fontId="7" fillId="3" borderId="1" pivotButton="0" quotePrefix="0" xfId="0"/>
    <xf numFmtId="4" fontId="7" fillId="3" borderId="1" pivotButton="0" quotePrefix="0" xfId="0"/>
    <xf numFmtId="164" fontId="7" fillId="3" borderId="1" pivotButton="0" quotePrefix="0" xfId="0"/>
    <xf numFmtId="164" fontId="6" fillId="0" borderId="1" pivotButton="0" quotePrefix="0" xfId="0"/>
    <xf numFmtId="0" fontId="9" fillId="0" borderId="1" pivotButton="0" quotePrefix="0" xfId="0"/>
    <xf numFmtId="0" fontId="5" fillId="5" borderId="2" pivotButton="0" quotePrefix="0" xfId="0"/>
    <xf numFmtId="0" fontId="0" fillId="5" borderId="2" pivotButton="0" quotePrefix="0" xfId="0"/>
    <xf numFmtId="164" fontId="5" fillId="5" borderId="2" pivotButton="0" quotePrefix="0" xfId="0"/>
    <xf numFmtId="0" fontId="8" fillId="5" borderId="2" pivotButton="0" quotePrefix="0" xfId="0"/>
    <xf numFmtId="0" fontId="9" fillId="5" borderId="2" applyAlignment="1" pivotButton="0" quotePrefix="0" xfId="0">
      <alignment horizontal="right"/>
    </xf>
    <xf numFmtId="164" fontId="8" fillId="5" borderId="2" pivotButton="0" quotePrefix="0" xfId="0"/>
    <xf numFmtId="0" fontId="9" fillId="5" borderId="2" pivotButton="0" quotePrefix="0" xfId="0"/>
    <xf numFmtId="0" fontId="4" fillId="0" borderId="0" applyAlignment="1" pivotButton="0" quotePrefix="0" xfId="0">
      <alignment horizontal="center" vertical="center" wrapText="1"/>
    </xf>
    <xf numFmtId="0" fontId="0" fillId="0" borderId="1" pivotButton="0" quotePrefix="0" xfId="0"/>
    <xf numFmtId="165" fontId="7" fillId="3" borderId="1" pivotButton="0" quotePrefix="0" xfId="0"/>
    <xf numFmtId="165" fontId="8" fillId="5" borderId="2" pivotButton="0" quotePrefix="0" xfId="0"/>
    <xf numFmtId="0" fontId="8" fillId="0" borderId="0" pivotButton="0" quotePrefix="0" xfId="0"/>
    <xf numFmtId="0" fontId="6" fillId="0" borderId="1" pivotButton="0" quotePrefix="0" xfId="0"/>
    <xf numFmtId="0" fontId="7" fillId="3" borderId="1" applyAlignment="1" pivotButton="0" quotePrefix="0" xfId="0">
      <alignment horizontal="center" wrapText="1"/>
    </xf>
    <xf numFmtId="164" fontId="7" fillId="3" borderId="1" applyAlignment="1" pivotButton="0" quotePrefix="0" xfId="0">
      <alignment horizontal="right" wrapText="1"/>
    </xf>
    <xf numFmtId="165" fontId="7" fillId="3" borderId="1" applyAlignment="1" pivotButton="0" quotePrefix="0" xfId="0">
      <alignment horizontal="right" wrapText="1"/>
    </xf>
    <xf numFmtId="166" fontId="7" fillId="3" borderId="1" applyAlignment="1" pivotButton="0" quotePrefix="0" xfId="0">
      <alignment horizontal="right" wrapText="1"/>
    </xf>
    <xf numFmtId="164" fontId="6" fillId="0" borderId="1" applyAlignment="1" pivotButton="0" quotePrefix="0" xfId="0">
      <alignment horizontal="right" wrapText="1"/>
    </xf>
    <xf numFmtId="164" fontId="5" fillId="5" borderId="2" applyAlignment="1" pivotButton="0" quotePrefix="0" xfId="0">
      <alignment horizontal="right" wrapText="1"/>
    </xf>
    <xf numFmtId="0" fontId="9" fillId="5" borderId="2" applyAlignment="1" pivotButton="0" quotePrefix="0" xfId="0">
      <alignment vertical="top" wrapText="1"/>
    </xf>
    <xf numFmtId="166" fontId="6" fillId="0" borderId="1" applyAlignment="1" pivotButton="0" quotePrefix="0" xfId="0">
      <alignment horizontal="right" wrapText="1"/>
    </xf>
    <xf numFmtId="165" fontId="6" fillId="0" borderId="1" applyAlignment="1" pivotButton="0" quotePrefix="0" xfId="0">
      <alignment horizontal="right" wrapText="1"/>
    </xf>
    <xf numFmtId="165" fontId="5" fillId="5" borderId="2" applyAlignment="1" pivotButton="0" quotePrefix="0" xfId="0">
      <alignment horizontal="right" wrapText="1"/>
    </xf>
    <xf numFmtId="0" fontId="6" fillId="0" borderId="1" applyAlignment="1" pivotButton="0" quotePrefix="0" xfId="0">
      <alignment horizontal="center" wrapText="1"/>
    </xf>
    <xf numFmtId="0" fontId="5" fillId="0" borderId="0" pivotButton="0" quotePrefix="0" xfId="0"/>
    <xf numFmtId="0" fontId="7" fillId="3" borderId="0" applyAlignment="1" pivotButton="0" quotePrefix="0" xfId="0">
      <alignment horizontal="left"/>
    </xf>
    <xf numFmtId="165" fontId="6" fillId="0" borderId="1" pivotButton="0" quotePrefix="0" xfId="0"/>
    <xf numFmtId="166" fontId="6" fillId="0" borderId="1" pivotButton="0" quotePrefix="0" xfId="0"/>
    <xf numFmtId="166" fontId="7" fillId="3" borderId="1" pivotButton="0" quotePrefix="0" xfId="0"/>
    <xf numFmtId="164" fontId="4" fillId="2" borderId="0" applyAlignment="1" pivotButton="0" quotePrefix="0" xfId="0">
      <alignment horizontal="center"/>
    </xf>
    <xf numFmtId="167" fontId="9" fillId="0" borderId="0" applyAlignment="1" pivotButton="0" quotePrefix="0" xfId="0">
      <alignment horizontal="center"/>
    </xf>
    <xf numFmtId="165" fontId="5" fillId="0" borderId="0" applyAlignment="1" pivotButton="0" quotePrefix="0" xfId="0">
      <alignment horizontal="right"/>
    </xf>
    <xf numFmtId="165" fontId="6" fillId="0" borderId="3" pivotButton="0" quotePrefix="0" xfId="0"/>
    <xf numFmtId="165" fontId="5" fillId="0" borderId="4" pivotButton="0" quotePrefix="0" xfId="0"/>
    <xf numFmtId="0" fontId="5" fillId="5" borderId="0" pivotButton="0" quotePrefix="0" xfId="0"/>
    <xf numFmtId="0" fontId="0" fillId="5" borderId="0" pivotButton="0" quotePrefix="0" xfId="0"/>
    <xf numFmtId="165" fontId="5" fillId="5" borderId="0" applyAlignment="1" pivotButton="0" quotePrefix="0" xfId="0">
      <alignment horizontal="right"/>
    </xf>
    <xf numFmtId="166" fontId="6" fillId="0" borderId="3" pivotButton="0" quotePrefix="0" xfId="0"/>
    <xf numFmtId="166" fontId="5" fillId="0" borderId="4" pivotButton="0" quotePrefix="0" xfId="0"/>
    <xf numFmtId="165" fontId="6" fillId="0" borderId="1" applyAlignment="1" pivotButton="0" quotePrefix="0" xfId="0">
      <alignment horizontal="right"/>
    </xf>
  </cellXfs>
  <cellStyles count="1">
    <cellStyle name="Normal" xfId="0" builtinId="0" hidden="0"/>
  </cellStyles>
  <dxfs count="6">
    <dxf>
      <font>
        <name val="Arial"/>
        <b val="1"/>
        <color rgb="00CC1923"/>
      </font>
    </dxf>
    <dxf>
      <font>
        <name val="Arial"/>
        <b val="1"/>
        <color rgb="00FFFFFF"/>
      </font>
      <fill>
        <patternFill patternType="solid">
          <fgColor rgb="001E7B34"/>
        </patternFill>
      </fill>
    </dxf>
    <dxf>
      <font>
        <name val="Arial"/>
        <b val="1"/>
        <color rgb="00B26B00"/>
      </font>
    </dxf>
    <dxf>
      <font>
        <name val="Arial"/>
        <b val="1"/>
        <color rgb="00FFFFFF"/>
      </font>
      <fill>
        <patternFill patternType="solid">
          <fgColor rgb="00CC1923"/>
        </patternFill>
      </fill>
    </dxf>
    <dxf>
      <font>
        <name val="Arial"/>
        <b val="1"/>
        <color rgb="00CC1923"/>
      </font>
      <fill>
        <patternFill patternType="solid">
          <fgColor rgb="00F8D7D9"/>
        </patternFill>
      </fill>
    </dxf>
    <dxf>
      <font>
        <name val="Arial"/>
        <color rgb="001E7B34"/>
      </font>
      <fill>
        <patternFill patternType="solid">
          <fgColor rgb="00DCEFD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Break-even chart: revenue vs total costs</a:t>
            </a:r>
          </a:p>
        </rich>
      </tx>
    </title>
    <plotArea>
      <lineChart>
        <grouping val="standard"/>
        <ser>
          <idx val="0"/>
          <order val="0"/>
          <tx>
            <strRef>
              <f>'Sensitivity'!C44</f>
            </strRef>
          </tx>
          <spPr>
            <a:ln xmlns:a="http://schemas.openxmlformats.org/drawingml/2006/main" w="28575">
              <a:solidFill>
                <a:srgbClr val="111111"/>
              </a:solidFill>
              <a:prstDash val="solid"/>
            </a:ln>
          </spPr>
          <marker>
            <symbol val="none"/>
            <spPr>
              <a:ln xmlns:a="http://schemas.openxmlformats.org/drawingml/2006/main">
                <a:prstDash val="solid"/>
              </a:ln>
            </spPr>
          </marker>
          <cat>
            <numRef>
              <f>'Sensitivity'!$B$45:$B$55</f>
            </numRef>
          </cat>
          <val>
            <numRef>
              <f>'Sensitivity'!$C$45:$C$55</f>
            </numRef>
          </val>
          <smooth val="0"/>
        </ser>
        <ser>
          <idx val="1"/>
          <order val="1"/>
          <tx>
            <strRef>
              <f>'Sensitivity'!D44</f>
            </strRef>
          </tx>
          <spPr>
            <a:ln xmlns:a="http://schemas.openxmlformats.org/drawingml/2006/main" w="28575">
              <a:solidFill>
                <a:srgbClr val="CC1923"/>
              </a:solidFill>
              <a:prstDash val="solid"/>
            </a:ln>
          </spPr>
          <marker>
            <symbol val="none"/>
            <spPr>
              <a:ln xmlns:a="http://schemas.openxmlformats.org/drawingml/2006/main">
                <a:prstDash val="solid"/>
              </a:ln>
            </spPr>
          </marker>
          <cat>
            <numRef>
              <f>'Sensitivity'!$B$45:$B$55</f>
            </numRef>
          </cat>
          <val>
            <numRef>
              <f>'Sensitivity'!$D$45:$D$55</f>
            </numRef>
          </val>
          <smooth val="0"/>
        </ser>
        <ser>
          <idx val="2"/>
          <order val="2"/>
          <tx>
            <strRef>
              <f>'Sensitivity'!E44</f>
            </strRef>
          </tx>
          <spPr>
            <a:ln xmlns:a="http://schemas.openxmlformats.org/drawingml/2006/main">
              <a:solidFill>
                <a:srgbClr val="8C8C8C"/>
              </a:solidFill>
              <a:prstDash val="dash"/>
            </a:ln>
          </spPr>
          <marker>
            <symbol val="none"/>
            <spPr>
              <a:ln xmlns:a="http://schemas.openxmlformats.org/drawingml/2006/main">
                <a:prstDash val="solid"/>
              </a:ln>
            </spPr>
          </marker>
          <cat>
            <numRef>
              <f>'Sensitivity'!$B$45:$B$55</f>
            </numRef>
          </cat>
          <val>
            <numRef>
              <f>'Sensitivity'!$E$45:$E$55</f>
            </numRef>
          </val>
          <smooth val="0"/>
        </ser>
        <axId val="10"/>
        <axId val="100"/>
      </lineChart>
      <catAx>
        <axId val="10"/>
        <scaling>
          <orientation val="minMax"/>
        </scaling>
        <delete val="0"/>
        <axPos val="l"/>
        <title>
          <tx>
            <rich>
              <a:bodyPr xmlns:a="http://schemas.openxmlformats.org/drawingml/2006/main"/>
              <a:p xmlns:a="http://schemas.openxmlformats.org/drawingml/2006/main">
                <a:pPr>
                  <a:defRPr/>
                </a:pPr>
                <a:r>
                  <a:t>Units sold</a:t>
                </a:r>
              </a:p>
            </rich>
          </tx>
        </title>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42</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D33"/>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Pricing, Break-even &amp; Margin Scenarios</t>
        </is>
      </c>
    </row>
    <row r="2">
      <c r="B2" s="2" t="inlineStr">
        <is>
          <t>Axcell Financial Consulting</t>
        </is>
      </c>
    </row>
    <row r="3">
      <c r="B3" s="3" t="inlineStr">
        <is>
          <t>Know your break-even point and the price you need, before you quote</t>
        </is>
      </c>
    </row>
    <row r="5">
      <c r="B5" s="4" t="inlineStr">
        <is>
          <t>How to use it (about 10 minutes)</t>
        </is>
      </c>
      <c r="C5" s="5" t="n"/>
      <c r="D5" s="5" t="n"/>
    </row>
    <row r="6" ht="30" customHeight="1">
      <c r="B6" s="6" t="inlineStr">
        <is>
          <t>Step 1</t>
        </is>
      </c>
      <c r="C6" s="7" t="inlineStr">
        <is>
          <t>Fill 'Your settings' below: currency, what one unit is (a box, an hour, a room-night, a subscription) and the period you plan in (usually a month).</t>
        </is>
      </c>
    </row>
    <row r="7" ht="30" customHeight="1">
      <c r="B7" s="6" t="inlineStr">
        <is>
          <t>Step 2</t>
        </is>
      </c>
      <c r="C7" s="7" t="inlineStr">
        <is>
          <t>On 'Costs', build the variable cost of ONE unit (materials, direct labour, per-unit overheads) and list your fixed costs for the period. Replace the example lines with yours.</t>
        </is>
      </c>
    </row>
    <row r="8" ht="30" customHeight="1">
      <c r="B8" s="6" t="inlineStr">
        <is>
          <t>Step 3</t>
        </is>
      </c>
      <c r="C8" s="7" t="inlineStr">
        <is>
          <t>On 'Scenarios', enter price, expected volume and a target profit for up to three scenarios (for example: today, a price cut, a cost increase).</t>
        </is>
      </c>
    </row>
    <row r="9" ht="30" customHeight="1">
      <c r="B9" s="6" t="inlineStr">
        <is>
          <t>Step 4</t>
        </is>
      </c>
      <c r="C9" s="7" t="inlineStr">
        <is>
          <t>Read the results: contribution per unit, break-even units and revenue, margin of safety, and the price you need to hit your target profit.</t>
        </is>
      </c>
    </row>
    <row r="10" ht="30" customHeight="1">
      <c r="B10" s="6" t="inlineStr">
        <is>
          <t>Step 5</t>
        </is>
      </c>
      <c r="C10" s="7" t="inlineStr">
        <is>
          <t>On 'Sensitivity', pick a scenario and see profit at every combination of price and volume. Red cells lose money.</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c r="B16" s="11" t="inlineStr">
        <is>
          <t>(4,250)</t>
        </is>
      </c>
      <c r="C16" s="7" t="inlineStr">
        <is>
          <t>Sensitivity cell in red = loss at that price and volume. Green = profit.</t>
        </is>
      </c>
    </row>
    <row r="17" ht="28" customHeight="1">
      <c r="B17" s="12" t="inlineStr">
        <is>
          <t>No break-even</t>
        </is>
      </c>
      <c r="C17" s="7" t="inlineStr">
        <is>
          <t>Shown when the price does not even cover the variable cost of one unit: every extra sale loses money.</t>
        </is>
      </c>
    </row>
    <row r="19">
      <c r="B19" s="4" t="inlineStr">
        <is>
          <t>Your settings</t>
        </is>
      </c>
      <c r="C19" s="5" t="n"/>
      <c r="D19" s="5" t="n"/>
    </row>
    <row r="20">
      <c r="B20" s="13" t="inlineStr">
        <is>
          <t>Company name</t>
        </is>
      </c>
      <c r="C20" s="14" t="inlineStr">
        <is>
          <t>Example Food Co.</t>
        </is>
      </c>
      <c r="D20" s="15" t="inlineStr">
        <is>
          <t>Shown on the scenario sheet.</t>
        </is>
      </c>
    </row>
    <row r="21" ht="26" customHeight="1">
      <c r="B21" s="13" t="inlineStr">
        <is>
          <t>Currency</t>
        </is>
      </c>
      <c r="C21" s="14" t="inlineStr">
        <is>
          <t>Your currency</t>
        </is>
      </c>
      <c r="D21" s="15" t="inlineStr">
        <is>
          <t>Type your currency code, e.g. SAR, AED, EGP, USD. Labels only; no conversion.</t>
        </is>
      </c>
    </row>
    <row r="22">
      <c r="B22" s="13" t="inlineStr">
        <is>
          <t>Product or service</t>
        </is>
      </c>
      <c r="C22" s="14" t="inlineStr">
        <is>
          <t>Ready-meal box (Example)</t>
        </is>
      </c>
      <c r="D22" s="15" t="inlineStr">
        <is>
          <t>What you are pricing. Use one workbook copy per product or service.</t>
        </is>
      </c>
    </row>
    <row r="23">
      <c r="B23" s="13" t="inlineStr">
        <is>
          <t>One unit is</t>
        </is>
      </c>
      <c r="C23" s="14" t="inlineStr">
        <is>
          <t>box</t>
        </is>
      </c>
      <c r="D23" s="15" t="inlineStr">
        <is>
          <t>e.g. box, piece, hour, project, room-night, subscription.</t>
        </is>
      </c>
    </row>
    <row r="24">
      <c r="B24" s="13" t="inlineStr">
        <is>
          <t>Planning period</t>
        </is>
      </c>
      <c r="C24" s="14" t="inlineStr">
        <is>
          <t>month</t>
        </is>
      </c>
      <c r="D24" s="15" t="inlineStr">
        <is>
          <t>Fixed costs, volumes and profit targets are all per this period.</t>
        </is>
      </c>
    </row>
    <row r="26">
      <c r="B26" s="4" t="inlineStr">
        <is>
          <t>Good to know</t>
        </is>
      </c>
      <c r="C26" s="5" t="n"/>
      <c r="D26" s="5" t="n"/>
    </row>
    <row r="27" ht="30" customHeight="1">
      <c r="B27" s="7" t="inlineStr">
        <is>
          <t>• Variable costs rise with every unit you sell (materials, packaging, piece-rate labour, delivery, sales commission, card or platform fees). Fixed costs stay the same whatever you sell in the period (rent, salaries, software, insurance).</t>
        </is>
      </c>
    </row>
    <row r="28" ht="30" customHeight="1">
      <c r="B28" s="7" t="inlineStr">
        <is>
          <t>• Contribution margin = price − variable cost per unit. It is what each sale contributes towards fixed costs and then profit. Break-even units = fixed costs ÷ contribution margin per unit.</t>
        </is>
      </c>
    </row>
    <row r="29" ht="30" customHeight="1">
      <c r="B29" s="7" t="inlineStr">
        <is>
          <t>• Margin of safety = how far expected sales can fall before you make a loss. Enter prices excluding VAT or sales tax, because VAT is not your revenue.</t>
        </is>
      </c>
    </row>
    <row r="30" ht="30" customHeight="1">
      <c r="B30" s="7" t="inlineStr">
        <is>
          <t>• No Data Tables or macros are used: every result is an ordinary formula, so the file works in Excel, Google Sheets and Numbers.</t>
        </is>
      </c>
    </row>
    <row r="32">
      <c r="B32" s="16" t="inlineStr">
        <is>
          <t>Illustrative tool for decision support, not financial, tax or legal advice. The example figures are made up for illustration.</t>
        </is>
      </c>
    </row>
    <row r="33">
      <c r="B33" s="17" t="inlineStr">
        <is>
          <t>axcellservice.com · Free template · Book a free 30-minute consultation: axcellservice.com/contact</t>
        </is>
      </c>
    </row>
  </sheetData>
  <mergeCells count="15">
    <mergeCell ref="B28:D28"/>
    <mergeCell ref="C6:D6"/>
    <mergeCell ref="C10:D10"/>
    <mergeCell ref="C7:D7"/>
    <mergeCell ref="C16:D16"/>
    <mergeCell ref="C15:D15"/>
    <mergeCell ref="B32:D32"/>
    <mergeCell ref="B27:D27"/>
    <mergeCell ref="C14:D14"/>
    <mergeCell ref="C13:D13"/>
    <mergeCell ref="B30:D30"/>
    <mergeCell ref="C9:D9"/>
    <mergeCell ref="B29:D29"/>
    <mergeCell ref="C17:D17"/>
    <mergeCell ref="C8:D8"/>
  </mergeCells>
  <dataValidations count="1">
    <dataValidation sqref="C24" showDropDown="0" showInputMessage="0" showErrorMessage="1" allowBlank="0" error="Choose month, quarter, year or week." type="list">
      <formula1>"month,quarter,year,week"</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G47"/>
  <sheetViews>
    <sheetView showGridLines="0" workbookViewId="0">
      <pane ySplit="4" topLeftCell="A5" activePane="bottomLeft" state="frozen"/>
      <selection pane="bottomLeft" activeCell="A1" sqref="A1"/>
    </sheetView>
  </sheetViews>
  <sheetFormatPr baseColWidth="8" defaultRowHeight="15"/>
  <cols>
    <col width="2" customWidth="1" min="1" max="1"/>
    <col width="36" customWidth="1" min="2" max="2"/>
    <col width="13" customWidth="1" min="3" max="3"/>
    <col width="12" customWidth="1" min="4" max="4"/>
    <col width="15" customWidth="1" min="5" max="5"/>
    <col width="15" customWidth="1" min="6" max="6"/>
    <col width="58" customWidth="1" min="7" max="7"/>
  </cols>
  <sheetData>
    <row r="1" ht="26" customHeight="1">
      <c r="B1" s="18" t="inlineStr">
        <is>
          <t>Unit cost build-up and fixed costs</t>
        </is>
      </c>
    </row>
    <row r="2">
      <c r="B2" s="19" t="inlineStr">
        <is>
          <t>Axcell Financial Consulting · Pricing, Break-even &amp; Margin Scenarios</t>
        </is>
      </c>
    </row>
    <row r="3">
      <c r="B3" s="16" t="str">
        <f>"Amounts in "&amp;'Start here'!$C$21&amp;" · Product: "&amp;'Start here'!$C$22&amp;" · Variable costs are per "&amp;'Start here'!$C$23&amp;"; fixed costs are per "&amp;'Start here'!$C$24&amp;"."</f>
        <v>Amounts in Your currency · Product: Ready-meal box (Example) · Variable costs are per box; fixed costs are per month.</v>
      </c>
    </row>
    <row r="5">
      <c r="B5" s="4" t="inlineStr">
        <is>
          <t>A. Direct materials (per unit)</t>
        </is>
      </c>
      <c r="C5" s="5" t="n"/>
      <c r="D5" s="5" t="n"/>
      <c r="E5" s="5" t="n"/>
      <c r="F5" s="5" t="n"/>
      <c r="G5" s="5" t="n"/>
    </row>
    <row r="6" ht="30" customHeight="1">
      <c r="B6" s="20" t="inlineStr">
        <is>
          <t>Cost item</t>
        </is>
      </c>
      <c r="C6" s="20" t="inlineStr">
        <is>
          <t>Quantity per unit</t>
        </is>
      </c>
      <c r="D6" s="20" t="inlineStr">
        <is>
          <t>Measure</t>
        </is>
      </c>
      <c r="E6" s="20" t="inlineStr">
        <is>
          <t>Cost per measure</t>
        </is>
      </c>
      <c r="F6" s="20" t="inlineStr">
        <is>
          <t>Cost per unit</t>
        </is>
      </c>
      <c r="G6" s="20" t="inlineStr">
        <is>
          <t>Notes</t>
        </is>
      </c>
    </row>
    <row r="7">
      <c r="B7" s="21" t="inlineStr">
        <is>
          <t>Main ingredients (Example)</t>
        </is>
      </c>
      <c r="C7" s="22" t="n">
        <v>0.45</v>
      </c>
      <c r="D7" s="21" t="inlineStr">
        <is>
          <t>kg</t>
        </is>
      </c>
      <c r="E7" s="23" t="n">
        <v>38</v>
      </c>
      <c r="F7" s="24">
        <f>N(C7)*N(E7)</f>
        <v>17.1</v>
      </c>
      <c r="G7" s="25" t="inlineStr">
        <is>
          <t>Weighted average purchase price, incl. freight-in</t>
        </is>
      </c>
    </row>
    <row r="8">
      <c r="B8" s="21" t="inlineStr">
        <is>
          <t>Box and lid (Example)</t>
        </is>
      </c>
      <c r="C8" s="22" t="n">
        <v>1</v>
      </c>
      <c r="D8" s="21" t="inlineStr">
        <is>
          <t>piece</t>
        </is>
      </c>
      <c r="E8" s="23" t="n">
        <v>2.4</v>
      </c>
      <c r="F8" s="24">
        <f>N(C8)*N(E8)</f>
        <v>2.4</v>
      </c>
      <c r="G8" s="25" t="inlineStr"/>
    </row>
    <row r="9">
      <c r="B9" s="21" t="inlineStr">
        <is>
          <t>Label and sleeve (Example)</t>
        </is>
      </c>
      <c r="C9" s="22" t="n">
        <v>1</v>
      </c>
      <c r="D9" s="21" t="inlineStr">
        <is>
          <t>piece</t>
        </is>
      </c>
      <c r="E9" s="23" t="n">
        <v>0.6</v>
      </c>
      <c r="F9" s="24">
        <f>N(C9)*N(E9)</f>
        <v>0.6</v>
      </c>
      <c r="G9" s="25" t="inlineStr"/>
    </row>
    <row r="10">
      <c r="B10" s="21" t="inlineStr">
        <is>
          <t>Sauce and garnish (Example)</t>
        </is>
      </c>
      <c r="C10" s="22" t="n">
        <v>0.08</v>
      </c>
      <c r="D10" s="21" t="inlineStr">
        <is>
          <t>kg</t>
        </is>
      </c>
      <c r="E10" s="23" t="n">
        <v>22</v>
      </c>
      <c r="F10" s="24">
        <f>N(C10)*N(E10)</f>
        <v>1.76</v>
      </c>
      <c r="G10" s="25" t="inlineStr"/>
    </row>
    <row r="11">
      <c r="B11" s="21" t="n"/>
      <c r="C11" s="22" t="n"/>
      <c r="D11" s="21" t="n"/>
      <c r="E11" s="23" t="n"/>
      <c r="F11" s="24">
        <f>N(C11)*N(E11)</f>
        <v>0</v>
      </c>
      <c r="G11" s="25" t="inlineStr"/>
    </row>
    <row r="12">
      <c r="B12" s="21" t="n"/>
      <c r="C12" s="22" t="n"/>
      <c r="D12" s="21" t="n"/>
      <c r="E12" s="23" t="n"/>
      <c r="F12" s="24">
        <f>N(C12)*N(E12)</f>
        <v>0</v>
      </c>
      <c r="G12" s="25" t="inlineStr"/>
    </row>
    <row r="13">
      <c r="B13" s="26" t="inlineStr">
        <is>
          <t>Subtotal</t>
        </is>
      </c>
      <c r="C13" s="27" t="n"/>
      <c r="D13" s="27" t="n"/>
      <c r="E13" s="27" t="n"/>
      <c r="F13" s="28">
        <f>SUM(F7:F12)</f>
        <v>21.86</v>
      </c>
      <c r="G13" s="27" t="n"/>
    </row>
    <row r="15">
      <c r="B15" s="4" t="inlineStr">
        <is>
          <t>B. Direct labour that varies with volume (per unit)</t>
        </is>
      </c>
      <c r="C15" s="5" t="n"/>
      <c r="D15" s="5" t="n"/>
      <c r="E15" s="5" t="n"/>
      <c r="F15" s="5" t="n"/>
      <c r="G15" s="5" t="n"/>
    </row>
    <row r="16" ht="30" customHeight="1">
      <c r="B16" s="20" t="inlineStr">
        <is>
          <t>Cost item</t>
        </is>
      </c>
      <c r="C16" s="20" t="inlineStr">
        <is>
          <t>Hours per unit</t>
        </is>
      </c>
      <c r="D16" s="20" t="inlineStr">
        <is>
          <t>Measure</t>
        </is>
      </c>
      <c r="E16" s="20" t="inlineStr">
        <is>
          <t>Cost per hour</t>
        </is>
      </c>
      <c r="F16" s="20" t="inlineStr">
        <is>
          <t>Cost per unit</t>
        </is>
      </c>
      <c r="G16" s="20" t="inlineStr">
        <is>
          <t>Notes</t>
        </is>
      </c>
    </row>
    <row r="17">
      <c r="B17" s="21" t="inlineStr">
        <is>
          <t>Preparation and cooking (Example)</t>
        </is>
      </c>
      <c r="C17" s="22" t="n">
        <v>0.1</v>
      </c>
      <c r="D17" s="21" t="inlineStr">
        <is>
          <t>hours</t>
        </is>
      </c>
      <c r="E17" s="23" t="n">
        <v>30</v>
      </c>
      <c r="F17" s="24">
        <f>N(C17)*N(E17)</f>
        <v>3</v>
      </c>
      <c r="G17" s="25" t="inlineStr">
        <is>
          <t>Only labour that rises with volume (piece-rate, overtime, hourly staff)</t>
        </is>
      </c>
    </row>
    <row r="18">
      <c r="B18" s="21" t="inlineStr">
        <is>
          <t>Packing (Example)</t>
        </is>
      </c>
      <c r="C18" s="22" t="n">
        <v>0.04</v>
      </c>
      <c r="D18" s="21" t="inlineStr">
        <is>
          <t>hours</t>
        </is>
      </c>
      <c r="E18" s="23" t="n">
        <v>25</v>
      </c>
      <c r="F18" s="24">
        <f>N(C18)*N(E18)</f>
        <v>1</v>
      </c>
      <c r="G18" s="25" t="inlineStr"/>
    </row>
    <row r="19">
      <c r="B19" s="21" t="n"/>
      <c r="C19" s="22" t="n"/>
      <c r="D19" s="21" t="n"/>
      <c r="E19" s="23" t="n"/>
      <c r="F19" s="24">
        <f>N(C19)*N(E19)</f>
        <v>0</v>
      </c>
      <c r="G19" s="25" t="inlineStr"/>
    </row>
    <row r="20">
      <c r="B20" s="26" t="inlineStr">
        <is>
          <t>Subtotal</t>
        </is>
      </c>
      <c r="C20" s="27" t="n"/>
      <c r="D20" s="27" t="n"/>
      <c r="E20" s="27" t="n"/>
      <c r="F20" s="28">
        <f>SUM(F17:F19)</f>
        <v>4</v>
      </c>
      <c r="G20" s="27" t="n"/>
    </row>
    <row r="22">
      <c r="B22" s="4" t="inlineStr">
        <is>
          <t>C. Variable overheads and other per-unit costs</t>
        </is>
      </c>
      <c r="C22" s="5" t="n"/>
      <c r="D22" s="5" t="n"/>
      <c r="E22" s="5" t="n"/>
      <c r="F22" s="5" t="n"/>
      <c r="G22" s="5" t="n"/>
    </row>
    <row r="23" ht="30" customHeight="1">
      <c r="B23" s="20" t="inlineStr">
        <is>
          <t>Cost item</t>
        </is>
      </c>
      <c r="C23" s="20" t="inlineStr">
        <is>
          <t>Quantity per unit</t>
        </is>
      </c>
      <c r="D23" s="20" t="inlineStr">
        <is>
          <t>Measure</t>
        </is>
      </c>
      <c r="E23" s="20" t="inlineStr">
        <is>
          <t>Cost per measure</t>
        </is>
      </c>
      <c r="F23" s="20" t="inlineStr">
        <is>
          <t>Cost per unit</t>
        </is>
      </c>
      <c r="G23" s="20" t="inlineStr">
        <is>
          <t>Notes</t>
        </is>
      </c>
    </row>
    <row r="24">
      <c r="B24" s="21" t="inlineStr">
        <is>
          <t>Energy per unit (Example)</t>
        </is>
      </c>
      <c r="C24" s="22" t="n">
        <v>1</v>
      </c>
      <c r="D24" s="21" t="inlineStr">
        <is>
          <t>unit</t>
        </is>
      </c>
      <c r="E24" s="23" t="n">
        <v>0.8</v>
      </c>
      <c r="F24" s="24">
        <f>N(C24)*N(E24)</f>
        <v>0.8</v>
      </c>
      <c r="G24" s="25" t="inlineStr">
        <is>
          <t>Gas and power used per unit produced</t>
        </is>
      </c>
    </row>
    <row r="25">
      <c r="B25" s="21" t="inlineStr">
        <is>
          <t>Delivery per unit (Example)</t>
        </is>
      </c>
      <c r="C25" s="22" t="n">
        <v>1</v>
      </c>
      <c r="D25" s="21" t="inlineStr">
        <is>
          <t>unit</t>
        </is>
      </c>
      <c r="E25" s="23" t="n">
        <v>2.5</v>
      </c>
      <c r="F25" s="24">
        <f>N(C25)*N(E25)</f>
        <v>2.5</v>
      </c>
      <c r="G25" s="25" t="inlineStr">
        <is>
          <t>Courier or fuel cost per unit delivered</t>
        </is>
      </c>
    </row>
    <row r="26">
      <c r="B26" s="21" t="inlineStr">
        <is>
          <t>Wastage allowance (Example)</t>
        </is>
      </c>
      <c r="C26" s="22" t="n">
        <v>1</v>
      </c>
      <c r="D26" s="21" t="inlineStr">
        <is>
          <t>unit</t>
        </is>
      </c>
      <c r="E26" s="23" t="n">
        <v>0.7</v>
      </c>
      <c r="F26" s="24">
        <f>N(C26)*N(E26)</f>
        <v>0.7</v>
      </c>
      <c r="G26" s="25" t="inlineStr">
        <is>
          <t>Spoilage, breakage or returns per unit sold</t>
        </is>
      </c>
    </row>
    <row r="27">
      <c r="B27" s="21" t="n"/>
      <c r="C27" s="22" t="n"/>
      <c r="D27" s="21" t="n"/>
      <c r="E27" s="23" t="n"/>
      <c r="F27" s="24">
        <f>N(C27)*N(E27)</f>
        <v>0</v>
      </c>
      <c r="G27" s="25" t="inlineStr">
        <is>
          <t>Sales commission and card/platform fees are entered on 'Scenarios' as a % of price.</t>
        </is>
      </c>
    </row>
    <row r="28">
      <c r="B28" s="26" t="inlineStr">
        <is>
          <t>Subtotal</t>
        </is>
      </c>
      <c r="C28" s="27" t="n"/>
      <c r="D28" s="27" t="n"/>
      <c r="E28" s="27" t="n"/>
      <c r="F28" s="28">
        <f>SUM(F24:F27)</f>
        <v>4</v>
      </c>
      <c r="G28" s="27" t="n"/>
    </row>
    <row r="30">
      <c r="B30" s="29" t="inlineStr">
        <is>
          <t>VARIABLE COST PER UNIT (A + B + C)</t>
        </is>
      </c>
      <c r="C30" s="27" t="n"/>
      <c r="D30" s="27" t="n"/>
      <c r="E30" s="30" t="str">
        <f>"per "&amp;'Start here'!$C$23</f>
        <v>per box</v>
      </c>
      <c r="F30" s="31">
        <f>F13+F20+F28</f>
        <v>29.86</v>
      </c>
      <c r="G30" s="32" t="inlineStr">
        <is>
          <t>Before sales commission and payment fees (added per scenario).</t>
        </is>
      </c>
    </row>
    <row r="32">
      <c r="B32" s="4" t="inlineStr">
        <is>
          <t>D. Fixed costs per period</t>
        </is>
      </c>
      <c r="C32" s="5" t="n"/>
      <c r="D32" s="5" t="n"/>
      <c r="E32" s="5" t="n"/>
      <c r="F32" s="5" t="n"/>
      <c r="G32" s="5" t="n"/>
    </row>
    <row r="33" ht="30" customHeight="1">
      <c r="B33" s="20" t="inlineStr">
        <is>
          <t>Cost item</t>
        </is>
      </c>
      <c r="C33" s="33" t="inlineStr"/>
      <c r="D33" s="33" t="inlineStr"/>
      <c r="E33" s="33" t="inlineStr"/>
      <c r="F33" s="20" t="inlineStr">
        <is>
          <t>Amount per period</t>
        </is>
      </c>
      <c r="G33" s="20" t="inlineStr">
        <is>
          <t>Notes</t>
        </is>
      </c>
    </row>
    <row r="34">
      <c r="B34" s="21" t="inlineStr">
        <is>
          <t>Rent (Example)</t>
        </is>
      </c>
      <c r="C34" s="34" t="n"/>
      <c r="D34" s="34" t="n"/>
      <c r="E34" s="34" t="n"/>
      <c r="F34" s="35" t="n">
        <v>18000</v>
      </c>
      <c r="G34" s="25" t="inlineStr">
        <is>
          <t>Monthly amount if your planning period is a month.</t>
        </is>
      </c>
    </row>
    <row r="35">
      <c r="B35" s="21" t="inlineStr">
        <is>
          <t>Fixed salaries (Example)</t>
        </is>
      </c>
      <c r="C35" s="34" t="n"/>
      <c r="D35" s="34" t="n"/>
      <c r="E35" s="34" t="n"/>
      <c r="F35" s="35" t="n">
        <v>42000</v>
      </c>
      <c r="G35" s="25" t="inlineStr">
        <is>
          <t>Salaries that do not change with volume, incl. benefits.</t>
        </is>
      </c>
    </row>
    <row r="36">
      <c r="B36" s="21" t="inlineStr">
        <is>
          <t>Utilities, fixed part (Example)</t>
        </is>
      </c>
      <c r="C36" s="34" t="n"/>
      <c r="D36" s="34" t="n"/>
      <c r="E36" s="34" t="n"/>
      <c r="F36" s="35" t="n">
        <v>3500</v>
      </c>
      <c r="G36" s="34" t="n"/>
    </row>
    <row r="37">
      <c r="B37" s="21" t="inlineStr">
        <is>
          <t>Marketing, fixed budget (Example)</t>
        </is>
      </c>
      <c r="C37" s="34" t="n"/>
      <c r="D37" s="34" t="n"/>
      <c r="E37" s="34" t="n"/>
      <c r="F37" s="35" t="n">
        <v>8000</v>
      </c>
      <c r="G37" s="34" t="n"/>
    </row>
    <row r="38">
      <c r="B38" s="21" t="inlineStr">
        <is>
          <t>Software and subscriptions (Example)</t>
        </is>
      </c>
      <c r="C38" s="34" t="n"/>
      <c r="D38" s="34" t="n"/>
      <c r="E38" s="34" t="n"/>
      <c r="F38" s="35" t="n">
        <v>1500</v>
      </c>
      <c r="G38" s="34" t="n"/>
    </row>
    <row r="39">
      <c r="B39" s="21" t="inlineStr">
        <is>
          <t>Insurance (Example)</t>
        </is>
      </c>
      <c r="C39" s="34" t="n"/>
      <c r="D39" s="34" t="n"/>
      <c r="E39" s="34" t="n"/>
      <c r="F39" s="35" t="n">
        <v>1200</v>
      </c>
      <c r="G39" s="34" t="n"/>
    </row>
    <row r="40">
      <c r="B40" s="21" t="inlineStr">
        <is>
          <t>Depreciation of equipment (Example)</t>
        </is>
      </c>
      <c r="C40" s="34" t="n"/>
      <c r="D40" s="34" t="n"/>
      <c r="E40" s="34" t="n"/>
      <c r="F40" s="35" t="n">
        <v>4000</v>
      </c>
      <c r="G40" s="34" t="n"/>
    </row>
    <row r="41">
      <c r="B41" s="21" t="inlineStr">
        <is>
          <t>Other fixed costs (Example)</t>
        </is>
      </c>
      <c r="C41" s="34" t="n"/>
      <c r="D41" s="34" t="n"/>
      <c r="E41" s="34" t="n"/>
      <c r="F41" s="35" t="n">
        <v>2800</v>
      </c>
      <c r="G41" s="34" t="n"/>
    </row>
    <row r="42">
      <c r="B42" s="21" t="n"/>
      <c r="C42" s="34" t="n"/>
      <c r="D42" s="34" t="n"/>
      <c r="E42" s="34" t="n"/>
      <c r="F42" s="35" t="n"/>
      <c r="G42" s="34" t="n"/>
    </row>
    <row r="43">
      <c r="B43" s="21" t="n"/>
      <c r="C43" s="34" t="n"/>
      <c r="D43" s="34" t="n"/>
      <c r="E43" s="34" t="n"/>
      <c r="F43" s="35" t="n"/>
      <c r="G43" s="34" t="n"/>
    </row>
    <row r="44">
      <c r="B44" s="29" t="inlineStr">
        <is>
          <t>TOTAL FIXED COSTS PER PERIOD</t>
        </is>
      </c>
      <c r="C44" s="27" t="n"/>
      <c r="D44" s="27" t="n"/>
      <c r="E44" s="30" t="str">
        <f>"per "&amp;'Start here'!$C$24</f>
        <v>per month</v>
      </c>
      <c r="F44" s="36">
        <f>SUM(F34:F43)</f>
        <v>81000</v>
      </c>
      <c r="G44" s="27" t="n"/>
    </row>
    <row r="46">
      <c r="B46" s="16" t="inlineStr">
        <is>
          <t>Not sure if a cost is fixed or variable? Ask: if I sold twice as much next month, would this cost roughly double? Yes = variable (above). No = fixed.</t>
        </is>
      </c>
    </row>
    <row r="47">
      <c r="B47" s="17" t="inlineStr">
        <is>
          <t>axcellservice.com · Free template · Book a free 30-minute consultation: axcellservice.com/contact</t>
        </is>
      </c>
    </row>
  </sheetData>
  <dataValidations count="1">
    <dataValidation sqref="C7 C8 C9 C10 C11 C12 C17 C18 C19 C24 C25 C26 C27 E7 E8 E9 E10 E11 E12 E17 E18 E19 E24 E25 E26 E27 F34 F35 F36 F37 F38 F39 F40 F41 F42 F43" showDropDown="0" showInputMessage="0" showErrorMessage="1" allowBlank="0" errorTitle="Positive number" error="Enter a positive number (or leave blank)." type="decimal" operator="greaterThanOrEqual">
      <formula1>0</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F3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46" customWidth="1" min="2" max="2"/>
    <col width="17" customWidth="1" min="3" max="3"/>
    <col width="17" customWidth="1" min="4" max="4"/>
    <col width="17" customWidth="1" min="5" max="5"/>
    <col width="52" customWidth="1" min="6" max="6"/>
  </cols>
  <sheetData>
    <row r="1" ht="26" customHeight="1">
      <c r="B1" s="18" t="inlineStr">
        <is>
          <t>Price, break-even and margin: three scenarios</t>
        </is>
      </c>
    </row>
    <row r="2">
      <c r="B2" s="19" t="inlineStr">
        <is>
          <t>Axcell Financial Consulting · Pricing, Break-even &amp; Margin Scenarios</t>
        </is>
      </c>
    </row>
    <row r="3">
      <c r="B3" s="16" t="str">
        <f>IF('Start here'!$C$20="","",'Start here'!$C$20&amp;" · ")&amp;'Start here'!$C$22&amp;" · Amounts in "&amp;'Start here'!$C$21&amp;" · 1 unit = 1 "&amp;'Start here'!$C$23&amp;" · Period: "&amp;'Start here'!$C$24</f>
        <v>Example Food Co. · Ready-meal box (Example) · Amounts in Your currency · 1 unit = 1 box · Period: month</v>
      </c>
    </row>
    <row r="4">
      <c r="B4" s="37" t="str">
        <f>IF(SUM(C8:E8)=0,"Enter a price and volume for each scenario below.","Highest profit: "&amp;INDEX(C7:E7,MATCH(MAX(C24:E24),C24:E24,0))&amp;" ("&amp;TEXT(MAX(C24:E24),"#,##0;(#,##0)")&amp;" per "&amp;'Start here'!$C$24&amp;")."&amp;IF(COUNT(C27:E27)=0,""," Lowest break-even: "&amp;INDEX(C7:E7,MATCH(MIN(C27:E27),C27:E27,0))&amp;" ("&amp;TEXT(MIN(C27:E27),"#,##0")&amp;" units)."))</f>
        <v>Highest profit: Base case (7,350 per month). Lowest break-even: Base case (4,585 units).</v>
      </c>
    </row>
    <row r="5" ht="22" customHeight="1">
      <c r="B5" s="20" t="inlineStr"/>
      <c r="C5" s="20" t="inlineStr">
        <is>
          <t>Scenario 1</t>
        </is>
      </c>
      <c r="D5" s="20" t="inlineStr">
        <is>
          <t>Scenario 2</t>
        </is>
      </c>
      <c r="E5" s="20" t="inlineStr">
        <is>
          <t>Scenario 3</t>
        </is>
      </c>
      <c r="F5" s="20" t="inlineStr">
        <is>
          <t>What it means</t>
        </is>
      </c>
    </row>
    <row r="6">
      <c r="B6" s="4" t="inlineStr">
        <is>
          <t>Inputs</t>
        </is>
      </c>
      <c r="C6" s="5" t="n"/>
      <c r="D6" s="5" t="n"/>
      <c r="E6" s="5" t="n"/>
      <c r="F6" s="5" t="n"/>
    </row>
    <row r="7" ht="28" customHeight="1">
      <c r="B7" s="38" t="inlineStr">
        <is>
          <t>Scenario name</t>
        </is>
      </c>
      <c r="C7" s="39" t="inlineStr">
        <is>
          <t>Base case</t>
        </is>
      </c>
      <c r="D7" s="39" t="inlineStr">
        <is>
          <t>Price cut 8%, +20% volume</t>
        </is>
      </c>
      <c r="E7" s="39" t="inlineStr">
        <is>
          <t>Input costs +10%</t>
        </is>
      </c>
      <c r="F7" s="15" t="inlineStr">
        <is>
          <t>Type a short name for each scenario.</t>
        </is>
      </c>
    </row>
    <row r="8">
      <c r="B8" s="38" t="inlineStr">
        <is>
          <t>Selling price per unit (excl. VAT)</t>
        </is>
      </c>
      <c r="C8" s="40" t="n">
        <v>49</v>
      </c>
      <c r="D8" s="40" t="n">
        <v>45.08</v>
      </c>
      <c r="E8" s="40" t="n">
        <v>49</v>
      </c>
      <c r="F8" s="15" t="inlineStr">
        <is>
          <t>Average net price after normal discounts.</t>
        </is>
      </c>
    </row>
    <row r="9">
      <c r="B9" s="38" t="inlineStr">
        <is>
          <t>Expected volume (units per period)</t>
        </is>
      </c>
      <c r="C9" s="41" t="n">
        <v>5000</v>
      </c>
      <c r="D9" s="41" t="n">
        <v>6000</v>
      </c>
      <c r="E9" s="41" t="n">
        <v>5000</v>
      </c>
      <c r="F9" s="15" t="inlineStr">
        <is>
          <t>Units you realistically expect to sell in the period.</t>
        </is>
      </c>
    </row>
    <row r="10">
      <c r="B10" s="38" t="inlineStr">
        <is>
          <t>Change in variable cost per unit vs 'Costs'</t>
        </is>
      </c>
      <c r="C10" s="42" t="n">
        <v>0</v>
      </c>
      <c r="D10" s="42" t="n">
        <v>0</v>
      </c>
      <c r="E10" s="42" t="n">
        <v>0.1</v>
      </c>
      <c r="F10" s="15" t="inlineStr">
        <is>
          <t>0% = use the cost build-up as it is. +10% = materials and labour 10% dearer.</t>
        </is>
      </c>
    </row>
    <row r="11">
      <c r="B11" s="38" t="inlineStr">
        <is>
          <t>Sales commission and payment fees (% of price)</t>
        </is>
      </c>
      <c r="C11" s="42" t="n">
        <v>0.03</v>
      </c>
      <c r="D11" s="42" t="n">
        <v>0.03</v>
      </c>
      <c r="E11" s="42" t="n">
        <v>0.03</v>
      </c>
      <c r="F11" s="15" t="inlineStr">
        <is>
          <t>Sales agent commission, card, platform or delivery-app fees.</t>
        </is>
      </c>
    </row>
    <row r="12">
      <c r="B12" s="38" t="inlineStr">
        <is>
          <t>Extra fixed costs per period vs 'Costs'</t>
        </is>
      </c>
      <c r="C12" s="41" t="n">
        <v>0</v>
      </c>
      <c r="D12" s="41" t="n">
        <v>0</v>
      </c>
      <c r="E12" s="41" t="n">
        <v>0</v>
      </c>
      <c r="F12" s="15" t="inlineStr">
        <is>
          <t>e.g. an extra salesperson for the volume push. Use a negative to cut costs.</t>
        </is>
      </c>
    </row>
    <row r="13">
      <c r="B13" s="38" t="inlineStr">
        <is>
          <t>Target operating profit per period</t>
        </is>
      </c>
      <c r="C13" s="41" t="n">
        <v>25000</v>
      </c>
      <c r="D13" s="41" t="n">
        <v>25000</v>
      </c>
      <c r="E13" s="41" t="n">
        <v>25000</v>
      </c>
      <c r="F13" s="15" t="inlineStr">
        <is>
          <t>The profit you want before interest and tax.</t>
        </is>
      </c>
    </row>
    <row r="15">
      <c r="B15" s="4" t="inlineStr">
        <is>
          <t>Results</t>
        </is>
      </c>
      <c r="C15" s="5" t="n"/>
      <c r="D15" s="5" t="n"/>
      <c r="E15" s="5" t="n"/>
      <c r="F15" s="5" t="n"/>
    </row>
    <row r="16">
      <c r="B16" s="38" t="inlineStr">
        <is>
          <t>Variable cost per unit (from 'Costs', adjusted)</t>
        </is>
      </c>
      <c r="C16" s="43">
        <f>Costs!$F$30*(1+C10)</f>
        <v>29.86</v>
      </c>
      <c r="D16" s="43">
        <f>Costs!$F$30*(1+D10)</f>
        <v>29.86</v>
      </c>
      <c r="E16" s="43">
        <f>Costs!$F$30*(1+E10)</f>
        <v>32.846</v>
      </c>
      <c r="F16" s="15" t="inlineStr">
        <is>
          <t>Cost build-up × (1 + change).</t>
        </is>
      </c>
    </row>
    <row r="17">
      <c r="B17" s="38" t="inlineStr">
        <is>
          <t>Commission and fees per unit</t>
        </is>
      </c>
      <c r="C17" s="43">
        <f>C8*C11</f>
        <v>1.47</v>
      </c>
      <c r="D17" s="43">
        <f>D8*D11</f>
        <v>1.3524</v>
      </c>
      <c r="E17" s="43">
        <f>E8*E11</f>
        <v>1.47</v>
      </c>
      <c r="F17" s="15" t="inlineStr">
        <is>
          <t>Price × commission %.</t>
        </is>
      </c>
    </row>
    <row r="18">
      <c r="B18" s="38" t="inlineStr">
        <is>
          <t>Total variable cost per unit</t>
        </is>
      </c>
      <c r="C18" s="43">
        <f>C16+C17</f>
        <v>31.33</v>
      </c>
      <c r="D18" s="43">
        <f>D16+D17</f>
        <v>31.2124</v>
      </c>
      <c r="E18" s="43">
        <f>E16+E17</f>
        <v>34.316</v>
      </c>
      <c r="F18" s="15" t="inlineStr"/>
    </row>
    <row r="19" ht="26" customHeight="1">
      <c r="B19" s="26" t="inlineStr">
        <is>
          <t>CONTRIBUTION MARGIN PER UNIT</t>
        </is>
      </c>
      <c r="C19" s="44">
        <f>C8-C18</f>
        <v>17.67</v>
      </c>
      <c r="D19" s="44">
        <f>D8-D18</f>
        <v>13.8676</v>
      </c>
      <c r="E19" s="44">
        <f>E8-E18</f>
        <v>14.684</v>
      </c>
      <c r="F19" s="45" t="inlineStr">
        <is>
          <t>Price − total variable cost. What each sale adds towards fixed costs and profit.</t>
        </is>
      </c>
    </row>
    <row r="20">
      <c r="B20" s="38" t="inlineStr">
        <is>
          <t>Contribution margin %</t>
        </is>
      </c>
      <c r="C20" s="46">
        <f>IF(N(C8)=0,0,C19/C8)</f>
        <v>0.360612244897959</v>
      </c>
      <c r="D20" s="46">
        <f>IF(N(D8)=0,0,D19/D8)</f>
        <v>0.307622005323869</v>
      </c>
      <c r="E20" s="46">
        <f>IF(N(E8)=0,0,E19/E8)</f>
        <v>0.299673469387755</v>
      </c>
      <c r="F20" s="15" t="inlineStr">
        <is>
          <t>Share of every sale left after variable costs.</t>
        </is>
      </c>
    </row>
    <row r="21">
      <c r="B21" s="38" t="inlineStr">
        <is>
          <t>Fixed costs per period</t>
        </is>
      </c>
      <c r="C21" s="47">
        <f>Costs!$F$44+N(C12)</f>
        <v>81000</v>
      </c>
      <c r="D21" s="47">
        <f>Costs!$F$44+N(D12)</f>
        <v>81000</v>
      </c>
      <c r="E21" s="47">
        <f>Costs!$F$44+N(E12)</f>
        <v>81000</v>
      </c>
      <c r="F21" s="15" t="inlineStr">
        <is>
          <t>From 'Costs' plus any extra fixed costs above.</t>
        </is>
      </c>
    </row>
    <row r="22">
      <c r="B22" s="38" t="inlineStr">
        <is>
          <t>Revenue</t>
        </is>
      </c>
      <c r="C22" s="47">
        <f>C8*C9</f>
        <v>245000</v>
      </c>
      <c r="D22" s="47">
        <f>D8*D9</f>
        <v>270480</v>
      </c>
      <c r="E22" s="47">
        <f>E8*E9</f>
        <v>245000</v>
      </c>
      <c r="F22" s="15" t="inlineStr">
        <is>
          <t>Price × expected volume.</t>
        </is>
      </c>
    </row>
    <row r="23">
      <c r="B23" s="38" t="inlineStr">
        <is>
          <t>Total contribution</t>
        </is>
      </c>
      <c r="C23" s="47">
        <f>C19*C9</f>
        <v>88350</v>
      </c>
      <c r="D23" s="47">
        <f>D19*D9</f>
        <v>83205.6</v>
      </c>
      <c r="E23" s="47">
        <f>E19*E9</f>
        <v>73420</v>
      </c>
      <c r="F23" s="15" t="inlineStr"/>
    </row>
    <row r="24">
      <c r="B24" s="26" t="inlineStr">
        <is>
          <t>OPERATING PROFIT</t>
        </is>
      </c>
      <c r="C24" s="48">
        <f>C23-C21</f>
        <v>7349.99999999999</v>
      </c>
      <c r="D24" s="48">
        <f>D23-D21</f>
        <v>2205.59999999998</v>
      </c>
      <c r="E24" s="48">
        <f>E23-E21</f>
        <v>-7580.00000000002</v>
      </c>
      <c r="F24" s="45" t="inlineStr">
        <is>
          <t>Total contribution − fixed costs. Brackets = loss.</t>
        </is>
      </c>
    </row>
    <row r="25">
      <c r="B25" s="38" t="inlineStr">
        <is>
          <t>Operating margin %</t>
        </is>
      </c>
      <c r="C25" s="46">
        <f>IF(N(C22)=0,0,C24/C22)</f>
        <v>0.0299999999999999</v>
      </c>
      <c r="D25" s="46">
        <f>IF(N(D22)=0,0,D24/D22)</f>
        <v>0.00815439219165919</v>
      </c>
      <c r="E25" s="46">
        <f>IF(N(E22)=0,0,E24/E22)</f>
        <v>-0.0309387755102041</v>
      </c>
      <c r="F25" s="15" t="inlineStr"/>
    </row>
    <row r="26" ht="26" customHeight="1">
      <c r="B26" s="38" t="inlineStr">
        <is>
          <t>Full cost per unit at expected volume</t>
        </is>
      </c>
      <c r="C26" s="43">
        <f>IF(N(C9)=0,0,C18+C21/C9)</f>
        <v>47.53</v>
      </c>
      <c r="D26" s="43">
        <f>IF(N(D9)=0,0,D18+D21/D9)</f>
        <v>44.7124</v>
      </c>
      <c r="E26" s="43">
        <f>IF(N(E9)=0,0,E18+E21/E9)</f>
        <v>50.516</v>
      </c>
      <c r="F26" s="15" t="inlineStr">
        <is>
          <t>Variable cost + share of fixed costs. Below this price you lose money at this volume.</t>
        </is>
      </c>
    </row>
    <row r="27">
      <c r="B27" s="26" t="inlineStr">
        <is>
          <t>BREAK-EVEN UNITS PER PERIOD</t>
        </is>
      </c>
      <c r="C27" s="48">
        <f>IF(C19&lt;=0,"No break-even",ROUNDUP(C21/C19,0))</f>
        <v>4585</v>
      </c>
      <c r="D27" s="48">
        <f>IF(D19&lt;=0,"No break-even",ROUNDUP(D21/D19,0))</f>
        <v>5841</v>
      </c>
      <c r="E27" s="48">
        <f>IF(E19&lt;=0,"No break-even",ROUNDUP(E21/E19,0))</f>
        <v>5517</v>
      </c>
      <c r="F27" s="45" t="inlineStr">
        <is>
          <t>Fixed costs ÷ contribution per unit, rounded up.</t>
        </is>
      </c>
    </row>
    <row r="28">
      <c r="B28" s="38" t="inlineStr">
        <is>
          <t>Break-even revenue per period</t>
        </is>
      </c>
      <c r="C28" s="47">
        <f>IF(ISNUMBER(C27),C27*C8,"No break-even")</f>
        <v>224665</v>
      </c>
      <c r="D28" s="47">
        <f>IF(ISNUMBER(D27),D27*D8,"No break-even")</f>
        <v>263312.28</v>
      </c>
      <c r="E28" s="47">
        <f>IF(ISNUMBER(E27),E27*E8,"No break-even")</f>
        <v>270333</v>
      </c>
      <c r="F28" s="15" t="inlineStr">
        <is>
          <t>Break-even units × price.</t>
        </is>
      </c>
    </row>
    <row r="29" ht="26" customHeight="1">
      <c r="B29" s="38" t="inlineStr">
        <is>
          <t>Margin of safety (units)</t>
        </is>
      </c>
      <c r="C29" s="47">
        <f>IF(ISNUMBER(C27),C9-C27,"n/a")</f>
        <v>415</v>
      </c>
      <c r="D29" s="47">
        <f>IF(ISNUMBER(D27),D9-D27,"n/a")</f>
        <v>159</v>
      </c>
      <c r="E29" s="47">
        <f>IF(ISNUMBER(E27),E9-E27,"n/a")</f>
        <v>-517</v>
      </c>
      <c r="F29" s="15" t="inlineStr">
        <is>
          <t>How many units sales can fall before you make a loss. Brackets = already below break-even.</t>
        </is>
      </c>
    </row>
    <row r="30">
      <c r="B30" s="38" t="inlineStr">
        <is>
          <t>Margin of safety %</t>
        </is>
      </c>
      <c r="C30" s="46">
        <f>IF(AND(ISNUMBER(C27),N(C9)&gt;0),C29/C9,"n/a")</f>
        <v>0.083</v>
      </c>
      <c r="D30" s="46">
        <f>IF(AND(ISNUMBER(D27),N(D9)&gt;0),D29/D9,"n/a")</f>
        <v>0.0265</v>
      </c>
      <c r="E30" s="46">
        <f>IF(AND(ISNUMBER(E27),N(E9)&gt;0),E29/E9,"n/a")</f>
        <v>-0.1034</v>
      </c>
      <c r="F30" s="15" t="inlineStr">
        <is>
          <t>Margin of safety ÷ expected volume.</t>
        </is>
      </c>
    </row>
    <row r="31">
      <c r="B31" s="38" t="inlineStr">
        <is>
          <t>Units needed for the target profit</t>
        </is>
      </c>
      <c r="C31" s="47">
        <f>IF(C19&lt;=0,"Not reachable",ROUNDUP((C21+C13)/C19,0))</f>
        <v>5999</v>
      </c>
      <c r="D31" s="47">
        <f>IF(D19&lt;=0,"Not reachable",ROUNDUP((D21+D13)/D19,0))</f>
        <v>7644</v>
      </c>
      <c r="E31" s="47">
        <f>IF(E19&lt;=0,"Not reachable",ROUNDUP((E21+E13)/E19,0))</f>
        <v>7219</v>
      </c>
      <c r="F31" s="15" t="inlineStr">
        <is>
          <t>(Fixed costs + target profit) ÷ contribution per unit.</t>
        </is>
      </c>
    </row>
    <row r="32">
      <c r="B32" s="38" t="inlineStr">
        <is>
          <t>Price needed to break even at expected volume</t>
        </is>
      </c>
      <c r="C32" s="43">
        <f>IF(OR(N(C9)=0,C11&gt;=1),"n/a",(C21+C16*C9)/(C9*(1-C11)))</f>
        <v>47.4845360824742</v>
      </c>
      <c r="D32" s="43">
        <f>IF(OR(N(D9)=0,D11&gt;=1),"n/a",(D21+D16*D9)/(D9*(1-D11)))</f>
        <v>44.7010309278351</v>
      </c>
      <c r="E32" s="43">
        <f>IF(OR(N(E9)=0,E11&gt;=1),"n/a",(E21+E16*E9)/(E9*(1-E11)))</f>
        <v>50.5628865979382</v>
      </c>
      <c r="F32" s="15" t="inlineStr">
        <is>
          <t>Lowest price that covers all costs at this volume.</t>
        </is>
      </c>
    </row>
    <row r="33" ht="26" customHeight="1">
      <c r="B33" s="26" t="inlineStr">
        <is>
          <t>PRICE NEEDED FOR THE TARGET PROFIT</t>
        </is>
      </c>
      <c r="C33" s="44">
        <f>IF(OR(N(C9)=0,C11&gt;=1),"n/a",(C21+C13+C16*C9)/(C9*(1-C11)))</f>
        <v>52.639175257732</v>
      </c>
      <c r="D33" s="44">
        <f>IF(OR(N(D9)=0,D11&gt;=1),"n/a",(D21+D13+D16*D9)/(D9*(1-D11)))</f>
        <v>48.9965635738832</v>
      </c>
      <c r="E33" s="44">
        <f>IF(OR(N(E9)=0,E11&gt;=1),"n/a",(E21+E13+E16*E9)/(E9*(1-E11)))</f>
        <v>55.7175257731959</v>
      </c>
      <c r="F33" s="45" t="inlineStr">
        <is>
          <t>Price that earns the target profit at the expected volume (commission recalculated on the new price).</t>
        </is>
      </c>
    </row>
    <row r="34" ht="26" customHeight="1">
      <c r="B34" s="38" t="inlineStr">
        <is>
          <t>Price gap to target (needed − current)</t>
        </is>
      </c>
      <c r="C34" s="43">
        <f>IF(ISNUMBER(C33),C33-C8,"n/a")</f>
        <v>3.63917525773196</v>
      </c>
      <c r="D34" s="43">
        <f>IF(ISNUMBER(D33),D33-D8,"n/a")</f>
        <v>3.91656357388316</v>
      </c>
      <c r="E34" s="43">
        <f>IF(ISNUMBER(E33),E33-E8,"n/a")</f>
        <v>6.71752577319587</v>
      </c>
      <c r="F34" s="15" t="inlineStr">
        <is>
          <t>Positive = you need to raise the price by this much (or sell more, or cut costs).</t>
        </is>
      </c>
    </row>
    <row r="35" ht="30" customHeight="1">
      <c r="B35" s="38" t="inlineStr">
        <is>
          <t>Verdict</t>
        </is>
      </c>
      <c r="C35" s="49" t="str">
        <f>IF(C19&lt;=0,"Price below variable cost",IF(C24&gt;=C13,"Meets target profit",IF(C24&gt;=0,"Profitable, below target","Loss at this volume")))</f>
        <v>Profitable, below target</v>
      </c>
      <c r="D35" s="49" t="str">
        <f>IF(D19&lt;=0,"Price below variable cost",IF(D24&gt;=D13,"Meets target profit",IF(D24&gt;=0,"Profitable, below target","Loss at this volume")))</f>
        <v>Profitable, below target</v>
      </c>
      <c r="E35" s="49" t="str">
        <f>IF(E19&lt;=0,"Price below variable cost",IF(E24&gt;=E13,"Meets target profit",IF(E24&gt;=0,"Profitable, below target","Loss at this volume")))</f>
        <v>Loss at this volume</v>
      </c>
      <c r="F35" s="15" t="inlineStr"/>
    </row>
    <row r="36">
      <c r="B36" s="16" t="inlineStr">
        <is>
          <t>Break-even and target units are rounded up to whole units. Profit here is operating profit, before interest and tax.</t>
        </is>
      </c>
    </row>
    <row r="37">
      <c r="B37" s="17" t="inlineStr">
        <is>
          <t>axcellservice.com · Free template · Book a free 30-minute consultation: axcellservice.com/contact</t>
        </is>
      </c>
    </row>
  </sheetData>
  <mergeCells count="1">
    <mergeCell ref="B4:F4"/>
  </mergeCells>
  <conditionalFormatting sqref="C19:E19">
    <cfRule type="cellIs" priority="1" operator="lessThan" dxfId="0">
      <formula>0</formula>
    </cfRule>
  </conditionalFormatting>
  <conditionalFormatting sqref="C24:E24">
    <cfRule type="cellIs" priority="2" operator="lessThan" dxfId="0">
      <formula>0</formula>
    </cfRule>
  </conditionalFormatting>
  <conditionalFormatting sqref="C25:E25">
    <cfRule type="cellIs" priority="3" operator="lessThan" dxfId="0">
      <formula>0</formula>
    </cfRule>
  </conditionalFormatting>
  <conditionalFormatting sqref="C29:E29">
    <cfRule type="cellIs" priority="4" operator="lessThan" dxfId="0">
      <formula>0</formula>
    </cfRule>
  </conditionalFormatting>
  <conditionalFormatting sqref="C30:E30">
    <cfRule type="cellIs" priority="5" operator="lessThan" dxfId="0">
      <formula>0</formula>
    </cfRule>
  </conditionalFormatting>
  <conditionalFormatting sqref="C34:E34">
    <cfRule type="cellIs" priority="6" operator="greaterThan" dxfId="0">
      <formula>0</formula>
    </cfRule>
  </conditionalFormatting>
  <conditionalFormatting sqref="C35:E35">
    <cfRule type="expression" priority="7" dxfId="1">
      <formula>C35="Meets target profit"</formula>
    </cfRule>
    <cfRule type="expression" priority="8" dxfId="2">
      <formula>C35="Profitable, below target"</formula>
    </cfRule>
    <cfRule type="expression" priority="9" dxfId="3">
      <formula>OR(C35="Loss at this volume",C35="Price below variable cost")</formula>
    </cfRule>
  </conditionalFormatting>
  <dataValidations count="3">
    <dataValidation sqref="C8 C9 D8 D9 E8 E9" showDropDown="0" showInputMessage="0" showErrorMessage="1" allowBlank="0" error="Enter a positive number." type="decimal" operator="greaterThanOrEqual">
      <formula1>0</formula1>
    </dataValidation>
    <dataValidation sqref="C10 D10 E10" showDropDown="0" showInputMessage="0" showErrorMessage="1" allowBlank="0" error="Enter a % between -90% and 500%." type="decimal" operator="between">
      <formula1>-0.9</formula1>
      <formula2>5</formula2>
    </dataValidation>
    <dataValidation sqref="C11 D11 E11" showDropDown="0" showInputMessage="0" showErrorMessage="1" allowBlank="0" error="Enter a % between 0% and 90%." type="decimal" operator="between">
      <formula1>0</formula1>
      <formula2>0.9</formula2>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J58"/>
  <sheetViews>
    <sheetView showGridLines="0" workbookViewId="0">
      <pane ySplit="4" topLeftCell="A5" activePane="bottomLeft" state="frozen"/>
      <selection pane="bottomLeft" activeCell="A1" sqref="A1"/>
    </sheetView>
  </sheetViews>
  <sheetFormatPr baseColWidth="8" defaultRowHeight="15"/>
  <cols>
    <col width="2" customWidth="1" min="1" max="1"/>
    <col width="40" customWidth="1" min="2" max="2"/>
    <col width="14"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3" customWidth="1" min="11" max="11"/>
    <col width="13" customWidth="1" min="12" max="12"/>
    <col width="13" customWidth="1" min="13" max="13"/>
    <col width="13" customWidth="1" min="14" max="14"/>
    <col width="13" customWidth="1" min="15" max="15"/>
  </cols>
  <sheetData>
    <row r="1" ht="26" customHeight="1">
      <c r="B1" s="18" t="inlineStr">
        <is>
          <t>Price × volume sensitivity</t>
        </is>
      </c>
    </row>
    <row r="2">
      <c r="B2" s="19" t="inlineStr">
        <is>
          <t>Axcell Financial Consulting · Pricing, Break-even &amp; Margin Scenarios</t>
        </is>
      </c>
    </row>
    <row r="3">
      <c r="B3" s="16" t="str">
        <f>"Operating profit per "&amp;'Start here'!$C$24&amp;" in "&amp;'Start here'!$C$21&amp;" at different prices (across) and volumes (down). Ordinary formulas, no Data Tables."</f>
        <v>Operating profit per month in Your currency at different prices (across) and volumes (down). Ordinary formulas, no Data Tables.</v>
      </c>
    </row>
    <row r="5">
      <c r="B5" s="4" t="inlineStr">
        <is>
          <t>Scenario to test and step sizes</t>
        </is>
      </c>
      <c r="C5" s="5" t="n"/>
      <c r="D5" s="5" t="n"/>
      <c r="E5" s="5" t="n"/>
      <c r="F5" s="5" t="n"/>
      <c r="G5" s="5" t="n"/>
      <c r="H5" s="5" t="n"/>
      <c r="I5" s="5" t="n"/>
      <c r="J5" s="5" t="n"/>
    </row>
    <row r="6">
      <c r="B6" s="50" t="inlineStr">
        <is>
          <t>Scenario</t>
        </is>
      </c>
      <c r="C6" s="51" t="inlineStr">
        <is>
          <t>Base case</t>
        </is>
      </c>
      <c r="F6" s="19" t="inlineStr">
        <is>
          <t>Pick one of the three scenario names.</t>
        </is>
      </c>
    </row>
    <row r="7">
      <c r="B7" s="38" t="inlineStr">
        <is>
          <t>Price per unit</t>
        </is>
      </c>
      <c r="C7" s="24">
        <f>INDEX(Scenarios!$C$8:$E$8,MAX(1,IFERROR(MATCH($C$6,Scenarios!$C$7:$E$7,0),1)))</f>
        <v>49</v>
      </c>
      <c r="D7" s="34" t="n"/>
      <c r="E7" s="34" t="n"/>
      <c r="F7" s="19" t="inlineStr">
        <is>
          <t>Values pulled from the chosen scenario (black = calculated).</t>
        </is>
      </c>
    </row>
    <row r="8">
      <c r="B8" s="38" t="inlineStr">
        <is>
          <t>Expected volume</t>
        </is>
      </c>
      <c r="C8" s="52">
        <f>INDEX(Scenarios!$C$9:$E$9,MAX(1,IFERROR(MATCH($C$6,Scenarios!$C$7:$E$7,0),1)))</f>
        <v>5000</v>
      </c>
      <c r="D8" s="34" t="n"/>
      <c r="E8" s="34" t="n"/>
    </row>
    <row r="9">
      <c r="B9" s="38" t="inlineStr">
        <is>
          <t>Variable cost per unit (before commission)</t>
        </is>
      </c>
      <c r="C9" s="24">
        <f>INDEX(Scenarios!$C$16:$E$16,MAX(1,IFERROR(MATCH($C$6,Scenarios!$C$7:$E$7,0),1)))</f>
        <v>29.86</v>
      </c>
      <c r="D9" s="34" t="n"/>
      <c r="E9" s="34" t="n"/>
    </row>
    <row r="10">
      <c r="B10" s="38" t="inlineStr">
        <is>
          <t>Commission and fees % of price</t>
        </is>
      </c>
      <c r="C10" s="53">
        <f>INDEX(Scenarios!$C$11:$E$11,MAX(1,IFERROR(MATCH($C$6,Scenarios!$C$7:$E$7,0),1)))</f>
        <v>0.03</v>
      </c>
      <c r="D10" s="34" t="n"/>
      <c r="E10" s="34" t="n"/>
    </row>
    <row r="11">
      <c r="B11" s="38" t="inlineStr">
        <is>
          <t>Fixed costs per period</t>
        </is>
      </c>
      <c r="C11" s="52">
        <f>INDEX(Scenarios!$C$21:$E$21,MAX(1,IFERROR(MATCH($C$6,Scenarios!$C$7:$E$7,0),1)))</f>
        <v>81000</v>
      </c>
      <c r="D11" s="34" t="n"/>
      <c r="E11" s="34" t="n"/>
    </row>
    <row r="12">
      <c r="B12" s="38" t="inlineStr">
        <is>
          <t>Price step (each column)</t>
        </is>
      </c>
      <c r="C12" s="54" t="n">
        <v>0.05</v>
      </c>
      <c r="D12" s="25" t="inlineStr">
        <is>
          <t>e.g. 5% = prices from −15% to +15% of the scenario price.</t>
        </is>
      </c>
      <c r="E12" s="34" t="n"/>
    </row>
    <row r="13">
      <c r="B13" s="38" t="inlineStr">
        <is>
          <t>Volume step (each row)</t>
        </is>
      </c>
      <c r="C13" s="54" t="n">
        <v>0.1</v>
      </c>
      <c r="D13" s="25" t="inlineStr">
        <is>
          <t>e.g. 10% = volumes from −40% to +40% of expected volume.</t>
        </is>
      </c>
      <c r="E13" s="34" t="n"/>
    </row>
    <row r="15">
      <c r="B15" s="4" t="inlineStr">
        <is>
          <t>Operating profit per period</t>
        </is>
      </c>
      <c r="C15" s="5" t="n"/>
      <c r="D15" s="5" t="n"/>
      <c r="E15" s="5" t="n"/>
      <c r="F15" s="5" t="n"/>
      <c r="G15" s="5" t="n"/>
      <c r="H15" s="5" t="n"/>
      <c r="I15" s="5" t="n"/>
      <c r="J15" s="5" t="n"/>
    </row>
    <row r="16">
      <c r="B16" s="50" t="inlineStr">
        <is>
          <t>Volume ↓  /  Price →</t>
        </is>
      </c>
      <c r="C16" s="19" t="inlineStr">
        <is>
          <t>Change</t>
        </is>
      </c>
      <c r="D16" s="55">
        <f>ROUND($C$7*(1+(-3)*$C$12),2)</f>
        <v>41.65</v>
      </c>
      <c r="E16" s="55">
        <f>ROUND($C$7*(1+(-2)*$C$12),2)</f>
        <v>44.1</v>
      </c>
      <c r="F16" s="55">
        <f>ROUND($C$7*(1+(-1)*$C$12),2)</f>
        <v>46.55</v>
      </c>
      <c r="G16" s="55">
        <f>ROUND($C$7*(1+(0)*$C$12),2)</f>
        <v>49</v>
      </c>
      <c r="H16" s="55">
        <f>ROUND($C$7*(1+(1)*$C$12),2)</f>
        <v>51.45</v>
      </c>
      <c r="I16" s="55">
        <f>ROUND($C$7*(1+(2)*$C$12),2)</f>
        <v>53.9</v>
      </c>
      <c r="J16" s="55">
        <f>ROUND($C$7*(1+(3)*$C$12),2)</f>
        <v>56.35</v>
      </c>
    </row>
    <row r="17">
      <c r="B17" s="19" t="inlineStr">
        <is>
          <t>Price change vs scenario</t>
        </is>
      </c>
      <c r="D17" s="56">
        <f>(-3)*$C$12</f>
        <v>-0.15</v>
      </c>
      <c r="E17" s="56">
        <f>(-2)*$C$12</f>
        <v>-0.1</v>
      </c>
      <c r="F17" s="56">
        <f>(-1)*$C$12</f>
        <v>-0.05</v>
      </c>
      <c r="G17" s="56">
        <f>(0)*$C$12</f>
        <v>0</v>
      </c>
      <c r="H17" s="56">
        <f>(1)*$C$12</f>
        <v>0.05</v>
      </c>
      <c r="I17" s="56">
        <f>(2)*$C$12</f>
        <v>0.1</v>
      </c>
      <c r="J17" s="56">
        <f>(3)*$C$12</f>
        <v>0.15</v>
      </c>
    </row>
    <row r="18">
      <c r="B18" s="57">
        <f>ROUND($C$8*(1+(-4)*$C$13),0)</f>
        <v>3000</v>
      </c>
      <c r="C18" s="56">
        <f>(-4)*$C$13</f>
        <v>-0.4</v>
      </c>
      <c r="D18" s="58">
        <f>(D$16*(1-$C$10)-$C$9)*$B18-$C$11</f>
        <v>-49378.5</v>
      </c>
      <c r="E18" s="58">
        <f>(E$16*(1-$C$10)-$C$9)*$B18-$C$11</f>
        <v>-42249</v>
      </c>
      <c r="F18" s="58">
        <f>(F$16*(1-$C$10)-$C$9)*$B18-$C$11</f>
        <v>-35119.5</v>
      </c>
      <c r="G18" s="58">
        <f>(G$16*(1-$C$10)-$C$9)*$B18-$C$11</f>
        <v>-27990</v>
      </c>
      <c r="H18" s="58">
        <f>(H$16*(1-$C$10)-$C$9)*$B18-$C$11</f>
        <v>-20860.5</v>
      </c>
      <c r="I18" s="58">
        <f>(I$16*(1-$C$10)-$C$9)*$B18-$C$11</f>
        <v>-13731</v>
      </c>
      <c r="J18" s="58">
        <f>(J$16*(1-$C$10)-$C$9)*$B18-$C$11</f>
        <v>-6601.5</v>
      </c>
    </row>
    <row r="19">
      <c r="B19" s="57">
        <f>ROUND($C$8*(1+(-3)*$C$13),0)</f>
        <v>3500</v>
      </c>
      <c r="C19" s="56">
        <f>(-3)*$C$13</f>
        <v>-0.3</v>
      </c>
      <c r="D19" s="58">
        <f>(D$16*(1-$C$10)-$C$9)*$B19-$C$11</f>
        <v>-44108.25</v>
      </c>
      <c r="E19" s="58">
        <f>(E$16*(1-$C$10)-$C$9)*$B19-$C$11</f>
        <v>-35790.5</v>
      </c>
      <c r="F19" s="58">
        <f>(F$16*(1-$C$10)-$C$9)*$B19-$C$11</f>
        <v>-27472.75</v>
      </c>
      <c r="G19" s="58">
        <f>(G$16*(1-$C$10)-$C$9)*$B19-$C$11</f>
        <v>-19155</v>
      </c>
      <c r="H19" s="58">
        <f>(H$16*(1-$C$10)-$C$9)*$B19-$C$11</f>
        <v>-10837.25</v>
      </c>
      <c r="I19" s="58">
        <f>(I$16*(1-$C$10)-$C$9)*$B19-$C$11</f>
        <v>-2519.50000000003</v>
      </c>
      <c r="J19" s="58">
        <f>(J$16*(1-$C$10)-$C$9)*$B19-$C$11</f>
        <v>5798.25</v>
      </c>
    </row>
    <row r="20">
      <c r="B20" s="57">
        <f>ROUND($C$8*(1+(-2)*$C$13),0)</f>
        <v>4000</v>
      </c>
      <c r="C20" s="56">
        <f>(-2)*$C$13</f>
        <v>-0.2</v>
      </c>
      <c r="D20" s="58">
        <f>(D$16*(1-$C$10)-$C$9)*$B20-$C$11</f>
        <v>-38838</v>
      </c>
      <c r="E20" s="58">
        <f>(E$16*(1-$C$10)-$C$9)*$B20-$C$11</f>
        <v>-29332</v>
      </c>
      <c r="F20" s="58">
        <f>(F$16*(1-$C$10)-$C$9)*$B20-$C$11</f>
        <v>-19826</v>
      </c>
      <c r="G20" s="58">
        <f>(G$16*(1-$C$10)-$C$9)*$B20-$C$11</f>
        <v>-10320</v>
      </c>
      <c r="H20" s="58">
        <f>(H$16*(1-$C$10)-$C$9)*$B20-$C$11</f>
        <v>-814</v>
      </c>
      <c r="I20" s="58">
        <f>(I$16*(1-$C$10)-$C$9)*$B20-$C$11</f>
        <v>8691.99999999997</v>
      </c>
      <c r="J20" s="58">
        <f>(J$16*(1-$C$10)-$C$9)*$B20-$C$11</f>
        <v>18198</v>
      </c>
    </row>
    <row r="21">
      <c r="B21" s="57">
        <f>ROUND($C$8*(1+(-1)*$C$13),0)</f>
        <v>4500</v>
      </c>
      <c r="C21" s="56">
        <f>(-1)*$C$13</f>
        <v>-0.1</v>
      </c>
      <c r="D21" s="58">
        <f>(D$16*(1-$C$10)-$C$9)*$B21-$C$11</f>
        <v>-33567.75</v>
      </c>
      <c r="E21" s="58">
        <f>(E$16*(1-$C$10)-$C$9)*$B21-$C$11</f>
        <v>-22873.5</v>
      </c>
      <c r="F21" s="58">
        <f>(F$16*(1-$C$10)-$C$9)*$B21-$C$11</f>
        <v>-12179.25</v>
      </c>
      <c r="G21" s="58">
        <f>(G$16*(1-$C$10)-$C$9)*$B21-$C$11</f>
        <v>-1485.00000000001</v>
      </c>
      <c r="H21" s="58">
        <f>(H$16*(1-$C$10)-$C$9)*$B21-$C$11</f>
        <v>9209.24999999999</v>
      </c>
      <c r="I21" s="58">
        <f>(I$16*(1-$C$10)-$C$9)*$B21-$C$11</f>
        <v>19903.5</v>
      </c>
      <c r="J21" s="58">
        <f>(J$16*(1-$C$10)-$C$9)*$B21-$C$11</f>
        <v>30597.75</v>
      </c>
    </row>
    <row r="22">
      <c r="B22" s="57">
        <f>ROUND($C$8*(1+(0)*$C$13),0)</f>
        <v>5000</v>
      </c>
      <c r="C22" s="56">
        <f>(0)*$C$13</f>
        <v>0</v>
      </c>
      <c r="D22" s="58">
        <f>(D$16*(1-$C$10)-$C$9)*$B22-$C$11</f>
        <v>-28297.5</v>
      </c>
      <c r="E22" s="58">
        <f>(E$16*(1-$C$10)-$C$9)*$B22-$C$11</f>
        <v>-16415</v>
      </c>
      <c r="F22" s="58">
        <f>(F$16*(1-$C$10)-$C$9)*$B22-$C$11</f>
        <v>-4532.50000000004</v>
      </c>
      <c r="G22" s="59">
        <f>(G$16*(1-$C$10)-$C$9)*$B22-$C$11</f>
        <v>7349.99999999999</v>
      </c>
      <c r="H22" s="58">
        <f>(H$16*(1-$C$10)-$C$9)*$B22-$C$11</f>
        <v>19232.5</v>
      </c>
      <c r="I22" s="58">
        <f>(I$16*(1-$C$10)-$C$9)*$B22-$C$11</f>
        <v>31115</v>
      </c>
      <c r="J22" s="58">
        <f>(J$16*(1-$C$10)-$C$9)*$B22-$C$11</f>
        <v>42997.5</v>
      </c>
    </row>
    <row r="23">
      <c r="B23" s="57">
        <f>ROUND($C$8*(1+(1)*$C$13),0)</f>
        <v>5500</v>
      </c>
      <c r="C23" s="56">
        <f>(1)*$C$13</f>
        <v>0.1</v>
      </c>
      <c r="D23" s="58">
        <f>(D$16*(1-$C$10)-$C$9)*$B23-$C$11</f>
        <v>-23027.25</v>
      </c>
      <c r="E23" s="58">
        <f>(E$16*(1-$C$10)-$C$9)*$B23-$C$11</f>
        <v>-9956.50000000002</v>
      </c>
      <c r="F23" s="58">
        <f>(F$16*(1-$C$10)-$C$9)*$B23-$C$11</f>
        <v>3114.24999999996</v>
      </c>
      <c r="G23" s="58">
        <f>(G$16*(1-$C$10)-$C$9)*$B23-$C$11</f>
        <v>16185</v>
      </c>
      <c r="H23" s="58">
        <f>(H$16*(1-$C$10)-$C$9)*$B23-$C$11</f>
        <v>29255.75</v>
      </c>
      <c r="I23" s="58">
        <f>(I$16*(1-$C$10)-$C$9)*$B23-$C$11</f>
        <v>42326.5</v>
      </c>
      <c r="J23" s="58">
        <f>(J$16*(1-$C$10)-$C$9)*$B23-$C$11</f>
        <v>55397.25</v>
      </c>
    </row>
    <row r="24">
      <c r="B24" s="57">
        <f>ROUND($C$8*(1+(2)*$C$13),0)</f>
        <v>6000</v>
      </c>
      <c r="C24" s="56">
        <f>(2)*$C$13</f>
        <v>0.2</v>
      </c>
      <c r="D24" s="58">
        <f>(D$16*(1-$C$10)-$C$9)*$B24-$C$11</f>
        <v>-17757</v>
      </c>
      <c r="E24" s="58">
        <f>(E$16*(1-$C$10)-$C$9)*$B24-$C$11</f>
        <v>-3498.00000000001</v>
      </c>
      <c r="F24" s="58">
        <f>(F$16*(1-$C$10)-$C$9)*$B24-$C$11</f>
        <v>10760.9999999999</v>
      </c>
      <c r="G24" s="58">
        <f>(G$16*(1-$C$10)-$C$9)*$B24-$C$11</f>
        <v>25020</v>
      </c>
      <c r="H24" s="58">
        <f>(H$16*(1-$C$10)-$C$9)*$B24-$C$11</f>
        <v>39279</v>
      </c>
      <c r="I24" s="58">
        <f>(I$16*(1-$C$10)-$C$9)*$B24-$C$11</f>
        <v>53537.9999999999</v>
      </c>
      <c r="J24" s="58">
        <f>(J$16*(1-$C$10)-$C$9)*$B24-$C$11</f>
        <v>67797</v>
      </c>
    </row>
    <row r="25">
      <c r="B25" s="57">
        <f>ROUND($C$8*(1+(3)*$C$13),0)</f>
        <v>6500</v>
      </c>
      <c r="C25" s="56">
        <f>(3)*$C$13</f>
        <v>0.3</v>
      </c>
      <c r="D25" s="58">
        <f>(D$16*(1-$C$10)-$C$9)*$B25-$C$11</f>
        <v>-12486.75</v>
      </c>
      <c r="E25" s="58">
        <f>(E$16*(1-$C$10)-$C$9)*$B25-$C$11</f>
        <v>2960.49999999999</v>
      </c>
      <c r="F25" s="58">
        <f>(F$16*(1-$C$10)-$C$9)*$B25-$C$11</f>
        <v>18407.7499999999</v>
      </c>
      <c r="G25" s="58">
        <f>(G$16*(1-$C$10)-$C$9)*$B25-$C$11</f>
        <v>33855</v>
      </c>
      <c r="H25" s="58">
        <f>(H$16*(1-$C$10)-$C$9)*$B25-$C$11</f>
        <v>49302.25</v>
      </c>
      <c r="I25" s="58">
        <f>(I$16*(1-$C$10)-$C$9)*$B25-$C$11</f>
        <v>64749.4999999999</v>
      </c>
      <c r="J25" s="58">
        <f>(J$16*(1-$C$10)-$C$9)*$B25-$C$11</f>
        <v>80196.75</v>
      </c>
    </row>
    <row r="26">
      <c r="B26" s="57">
        <f>ROUND($C$8*(1+(4)*$C$13),0)</f>
        <v>7000</v>
      </c>
      <c r="C26" s="56">
        <f>(4)*$C$13</f>
        <v>0.4</v>
      </c>
      <c r="D26" s="58">
        <f>(D$16*(1-$C$10)-$C$9)*$B26-$C$11</f>
        <v>-7216.50000000002</v>
      </c>
      <c r="E26" s="58">
        <f>(E$16*(1-$C$10)-$C$9)*$B26-$C$11</f>
        <v>9418.99999999999</v>
      </c>
      <c r="F26" s="58">
        <f>(F$16*(1-$C$10)-$C$9)*$B26-$C$11</f>
        <v>26054.4999999999</v>
      </c>
      <c r="G26" s="58">
        <f>(G$16*(1-$C$10)-$C$9)*$B26-$C$11</f>
        <v>42690</v>
      </c>
      <c r="H26" s="58">
        <f>(H$16*(1-$C$10)-$C$9)*$B26-$C$11</f>
        <v>59325.5</v>
      </c>
      <c r="I26" s="58">
        <f>(I$16*(1-$C$10)-$C$9)*$B26-$C$11</f>
        <v>75960.9999999999</v>
      </c>
      <c r="J26" s="58">
        <f>(J$16*(1-$C$10)-$C$9)*$B26-$C$11</f>
        <v>92596.5</v>
      </c>
    </row>
    <row r="27">
      <c r="B27" s="60" t="inlineStr">
        <is>
          <t>Break-even units at this price</t>
        </is>
      </c>
      <c r="C27" s="61" t="n"/>
      <c r="D27" s="62">
        <f>IF(D$16*(1-$C$10)-$C$9&lt;=0,"None",ROUNDUP($C$11/(D$16*(1-$C$10)-$C$9),0))</f>
        <v>7685</v>
      </c>
      <c r="E27" s="62">
        <f>IF(E$16*(1-$C$10)-$C$9&lt;=0,"None",ROUNDUP($C$11/(E$16*(1-$C$10)-$C$9),0))</f>
        <v>6271</v>
      </c>
      <c r="F27" s="62">
        <f>IF(F$16*(1-$C$10)-$C$9&lt;=0,"None",ROUNDUP($C$11/(F$16*(1-$C$10)-$C$9),0))</f>
        <v>5297</v>
      </c>
      <c r="G27" s="62">
        <f>IF(G$16*(1-$C$10)-$C$9&lt;=0,"None",ROUNDUP($C$11/(G$16*(1-$C$10)-$C$9),0))</f>
        <v>4585</v>
      </c>
      <c r="H27" s="62">
        <f>IF(H$16*(1-$C$10)-$C$9&lt;=0,"None",ROUNDUP($C$11/(H$16*(1-$C$10)-$C$9),0))</f>
        <v>4041</v>
      </c>
      <c r="I27" s="62">
        <f>IF(I$16*(1-$C$10)-$C$9&lt;=0,"None",ROUNDUP($C$11/(I$16*(1-$C$10)-$C$9),0))</f>
        <v>3613</v>
      </c>
      <c r="J27" s="62">
        <f>IF(J$16*(1-$C$10)-$C$9&lt;=0,"None",ROUNDUP($C$11/(J$16*(1-$C$10)-$C$9),0))</f>
        <v>3267</v>
      </c>
    </row>
    <row r="29">
      <c r="B29" s="4" t="inlineStr">
        <is>
          <t>Operating margin % (profit ÷ revenue)</t>
        </is>
      </c>
      <c r="C29" s="5" t="n"/>
      <c r="D29" s="5" t="n"/>
      <c r="E29" s="5" t="n"/>
      <c r="F29" s="5" t="n"/>
      <c r="G29" s="5" t="n"/>
      <c r="H29" s="5" t="n"/>
      <c r="I29" s="5" t="n"/>
      <c r="J29" s="5" t="n"/>
    </row>
    <row r="30">
      <c r="B30" s="50" t="inlineStr">
        <is>
          <t>Volume ↓  /  Price →</t>
        </is>
      </c>
      <c r="C30" s="19" t="inlineStr">
        <is>
          <t>Change</t>
        </is>
      </c>
      <c r="D30" s="55">
        <f>ROUND($C$7*(1+(-3)*$C$12),2)</f>
        <v>41.65</v>
      </c>
      <c r="E30" s="55">
        <f>ROUND($C$7*(1+(-2)*$C$12),2)</f>
        <v>44.1</v>
      </c>
      <c r="F30" s="55">
        <f>ROUND($C$7*(1+(-1)*$C$12),2)</f>
        <v>46.55</v>
      </c>
      <c r="G30" s="55">
        <f>ROUND($C$7*(1+(0)*$C$12),2)</f>
        <v>49</v>
      </c>
      <c r="H30" s="55">
        <f>ROUND($C$7*(1+(1)*$C$12),2)</f>
        <v>51.45</v>
      </c>
      <c r="I30" s="55">
        <f>ROUND($C$7*(1+(2)*$C$12),2)</f>
        <v>53.9</v>
      </c>
      <c r="J30" s="55">
        <f>ROUND($C$7*(1+(3)*$C$12),2)</f>
        <v>56.35</v>
      </c>
    </row>
    <row r="31">
      <c r="B31" s="19" t="inlineStr">
        <is>
          <t>Price change vs scenario</t>
        </is>
      </c>
      <c r="D31" s="56">
        <f>(-3)*$C$12</f>
        <v>-0.15</v>
      </c>
      <c r="E31" s="56">
        <f>(-2)*$C$12</f>
        <v>-0.1</v>
      </c>
      <c r="F31" s="56">
        <f>(-1)*$C$12</f>
        <v>-0.05</v>
      </c>
      <c r="G31" s="56">
        <f>(0)*$C$12</f>
        <v>0</v>
      </c>
      <c r="H31" s="56">
        <f>(1)*$C$12</f>
        <v>0.05</v>
      </c>
      <c r="I31" s="56">
        <f>(2)*$C$12</f>
        <v>0.1</v>
      </c>
      <c r="J31" s="56">
        <f>(3)*$C$12</f>
        <v>0.15</v>
      </c>
    </row>
    <row r="32">
      <c r="B32" s="57">
        <f>ROUND($C$8*(1+(-4)*$C$13),0)</f>
        <v>3000</v>
      </c>
      <c r="C32" s="56">
        <f>(-4)*$C$13</f>
        <v>-0.4</v>
      </c>
      <c r="D32" s="63">
        <f>IF(D$30*$B32=0,0,((D$30*(1-$C$10)-$C$9)*$B32-$C$11)/(D$30*$B32))</f>
        <v>-0.395186074429772</v>
      </c>
      <c r="E32" s="63">
        <f>IF(E$30*$B32=0,0,((E$30*(1-$C$10)-$C$9)*$B32-$C$11)/(E$30*$B32))</f>
        <v>-0.319342403628118</v>
      </c>
      <c r="F32" s="63">
        <f>IF(F$30*$B32=0,0,((F$30*(1-$C$10)-$C$9)*$B32-$C$11)/(F$30*$B32))</f>
        <v>-0.251482277121375</v>
      </c>
      <c r="G32" s="63">
        <f>IF(G$30*$B32=0,0,((G$30*(1-$C$10)-$C$9)*$B32-$C$11)/(G$30*$B32))</f>
        <v>-0.190408163265306</v>
      </c>
      <c r="H32" s="63">
        <f>IF(H$30*$B32=0,0,((H$30*(1-$C$10)-$C$9)*$B32-$C$11)/(H$30*$B32))</f>
        <v>-0.135150631681244</v>
      </c>
      <c r="I32" s="63">
        <f>IF(I$30*$B32=0,0,((I$30*(1-$C$10)-$C$9)*$B32-$C$11)/(I$30*$B32))</f>
        <v>-0.0849165120593694</v>
      </c>
      <c r="J32" s="63">
        <f>IF(J$30*$B32=0,0,((J$30*(1-$C$10)-$C$9)*$B32-$C$11)/(J$30*$B32))</f>
        <v>-0.0390505767524401</v>
      </c>
    </row>
    <row r="33">
      <c r="B33" s="57">
        <f>ROUND($C$8*(1+(-3)*$C$13),0)</f>
        <v>3500</v>
      </c>
      <c r="C33" s="56">
        <f>(-3)*$C$13</f>
        <v>-0.3</v>
      </c>
      <c r="D33" s="63">
        <f>IF(D$30*$B33=0,0,((D$30*(1-$C$10)-$C$9)*$B33-$C$11)/(D$30*$B33))</f>
        <v>-0.302577602469559</v>
      </c>
      <c r="E33" s="63">
        <f>IF(E$30*$B33=0,0,((E$30*(1-$C$10)-$C$9)*$B33-$C$11)/(E$30*$B33))</f>
        <v>-0.231878846776806</v>
      </c>
      <c r="F33" s="63">
        <f>IF(F$30*$B33=0,0,((F$30*(1-$C$10)-$C$9)*$B33-$C$11)/(F$30*$B33))</f>
        <v>-0.168622065367501</v>
      </c>
      <c r="G33" s="63">
        <f>IF(G$30*$B33=0,0,((G$30*(1-$C$10)-$C$9)*$B33-$C$11)/(G$30*$B33))</f>
        <v>-0.111690962099125</v>
      </c>
      <c r="H33" s="63">
        <f>IF(H$30*$B33=0,0,((H$30*(1-$C$10)-$C$9)*$B33-$C$11)/(H$30*$B33))</f>
        <v>-0.0601818686658337</v>
      </c>
      <c r="I33" s="63">
        <f>IF(I$30*$B33=0,0,((I$30*(1-$C$10)-$C$9)*$B33-$C$11)/(I$30*$B33))</f>
        <v>-0.0133554200901141</v>
      </c>
      <c r="J33" s="63">
        <f>IF(J$30*$B33=0,0,((J$30*(1-$C$10)-$C$9)*$B33-$C$11)/(J$30*$B33))</f>
        <v>0.0293991633920649</v>
      </c>
    </row>
    <row r="34">
      <c r="B34" s="57">
        <f>ROUND($C$8*(1+(-2)*$C$13),0)</f>
        <v>4000</v>
      </c>
      <c r="C34" s="56">
        <f>(-2)*$C$13</f>
        <v>-0.2</v>
      </c>
      <c r="D34" s="63">
        <f>IF(D$30*$B34=0,0,((D$30*(1-$C$10)-$C$9)*$B34-$C$11)/(D$30*$B34))</f>
        <v>-0.2331212484994</v>
      </c>
      <c r="E34" s="63">
        <f>IF(E$30*$B34=0,0,((E$30*(1-$C$10)-$C$9)*$B34-$C$11)/(E$30*$B34))</f>
        <v>-0.166281179138322</v>
      </c>
      <c r="F34" s="63">
        <f>IF(F$30*$B34=0,0,((F$30*(1-$C$10)-$C$9)*$B34-$C$11)/(F$30*$B34))</f>
        <v>-0.106476906552095</v>
      </c>
      <c r="G34" s="63">
        <f>IF(G$30*$B34=0,0,((G$30*(1-$C$10)-$C$9)*$B34-$C$11)/(G$30*$B34))</f>
        <v>-0.0526530612244899</v>
      </c>
      <c r="H34" s="63">
        <f>IF(H$30*$B34=0,0,((H$30*(1-$C$10)-$C$9)*$B34-$C$11)/(H$30*$B34))</f>
        <v>-0.003955296404276</v>
      </c>
      <c r="I34" s="63">
        <f>IF(I$30*$B34=0,0,((I$30*(1-$C$10)-$C$9)*$B34-$C$11)/(I$30*$B34))</f>
        <v>0.0403153988868273</v>
      </c>
      <c r="J34" s="63">
        <f>IF(J$30*$B34=0,0,((J$30*(1-$C$10)-$C$9)*$B34-$C$11)/(J$30*$B34))</f>
        <v>0.0807364685004437</v>
      </c>
    </row>
    <row r="35">
      <c r="B35" s="57">
        <f>ROUND($C$8*(1+(-1)*$C$13),0)</f>
        <v>4500</v>
      </c>
      <c r="C35" s="56">
        <f>(-1)*$C$13</f>
        <v>-0.1</v>
      </c>
      <c r="D35" s="63">
        <f>IF(D$30*$B35=0,0,((D$30*(1-$C$10)-$C$9)*$B35-$C$11)/(D$30*$B35))</f>
        <v>-0.179099639855942</v>
      </c>
      <c r="E35" s="63">
        <f>IF(E$30*$B35=0,0,((E$30*(1-$C$10)-$C$9)*$B35-$C$11)/(E$30*$B35))</f>
        <v>-0.115260770975057</v>
      </c>
      <c r="F35" s="63">
        <f>IF(F$30*$B35=0,0,((F$30*(1-$C$10)-$C$9)*$B35-$C$11)/(F$30*$B35))</f>
        <v>-0.0581417830290013</v>
      </c>
      <c r="G35" s="63">
        <f>IF(G$30*$B35=0,0,((G$30*(1-$C$10)-$C$9)*$B35-$C$11)/(G$30*$B35))</f>
        <v>-0.00673469387755109</v>
      </c>
      <c r="H35" s="63">
        <f>IF(H$30*$B35=0,0,((H$30*(1-$C$10)-$C$9)*$B35-$C$11)/(H$30*$B35))</f>
        <v>0.0397764820213799</v>
      </c>
      <c r="I35" s="63">
        <f>IF(I$30*$B35=0,0,((I$30*(1-$C$10)-$C$9)*$B35-$C$11)/(I$30*$B35))</f>
        <v>0.0820593692022262</v>
      </c>
      <c r="J35" s="63">
        <f>IF(J$30*$B35=0,0,((J$30*(1-$C$10)-$C$9)*$B35-$C$11)/(J$30*$B35))</f>
        <v>0.120665483584738</v>
      </c>
    </row>
    <row r="36">
      <c r="B36" s="57">
        <f>ROUND($C$8*(1+(0)*$C$13),0)</f>
        <v>5000</v>
      </c>
      <c r="C36" s="56">
        <f>(0)*$C$13</f>
        <v>0</v>
      </c>
      <c r="D36" s="63">
        <f>IF(D$30*$B36=0,0,((D$30*(1-$C$10)-$C$9)*$B36-$C$11)/(D$30*$B36))</f>
        <v>-0.135882352941177</v>
      </c>
      <c r="E36" s="63">
        <f>IF(E$30*$B36=0,0,((E$30*(1-$C$10)-$C$9)*$B36-$C$11)/(E$30*$B36))</f>
        <v>-0.0744444444444445</v>
      </c>
      <c r="F36" s="63">
        <f>IF(F$30*$B36=0,0,((F$30*(1-$C$10)-$C$9)*$B36-$C$11)/(F$30*$B36))</f>
        <v>-0.0194736842105265</v>
      </c>
      <c r="G36" s="64">
        <f>IF(G$30*$B36=0,0,((G$30*(1-$C$10)-$C$9)*$B36-$C$11)/(G$30*$B36))</f>
        <v>0.0299999999999999</v>
      </c>
      <c r="H36" s="63">
        <f>IF(H$30*$B36=0,0,((H$30*(1-$C$10)-$C$9)*$B36-$C$11)/(H$30*$B36))</f>
        <v>0.0747619047619047</v>
      </c>
      <c r="I36" s="63">
        <f>IF(I$30*$B36=0,0,((I$30*(1-$C$10)-$C$9)*$B36-$C$11)/(I$30*$B36))</f>
        <v>0.115454545454545</v>
      </c>
      <c r="J36" s="63">
        <f>IF(J$30*$B36=0,0,((J$30*(1-$C$10)-$C$9)*$B36-$C$11)/(J$30*$B36))</f>
        <v>0.152608695652174</v>
      </c>
    </row>
    <row r="37">
      <c r="B37" s="57">
        <f>ROUND($C$8*(1+(1)*$C$13),0)</f>
        <v>5500</v>
      </c>
      <c r="C37" s="56">
        <f>(1)*$C$13</f>
        <v>0.1</v>
      </c>
      <c r="D37" s="63">
        <f>IF(D$30*$B37=0,0,((D$30*(1-$C$10)-$C$9)*$B37-$C$11)/(D$30*$B37))</f>
        <v>-0.100522754556368</v>
      </c>
      <c r="E37" s="63">
        <f>IF(E$30*$B37=0,0,((E$30*(1-$C$10)-$C$9)*$B37-$C$11)/(E$30*$B37))</f>
        <v>-0.0410492681921254</v>
      </c>
      <c r="F37" s="63">
        <f>IF(F$30*$B37=0,0,((F$30*(1-$C$10)-$C$9)*$B37-$C$11)/(F$30*$B37))</f>
        <v>0.0121638511864074</v>
      </c>
      <c r="G37" s="63">
        <f>IF(G$30*$B37=0,0,((G$30*(1-$C$10)-$C$9)*$B37-$C$11)/(G$30*$B37))</f>
        <v>0.0600556586270871</v>
      </c>
      <c r="H37" s="63">
        <f>IF(H$30*$B37=0,0,((H$30*(1-$C$10)-$C$9)*$B37-$C$11)/(H$30*$B37))</f>
        <v>0.103386341549607</v>
      </c>
      <c r="I37" s="63">
        <f>IF(I$30*$B37=0,0,((I$30*(1-$C$10)-$C$9)*$B37-$C$11)/(I$30*$B37))</f>
        <v>0.14277787147917</v>
      </c>
      <c r="J37" s="63">
        <f>IF(J$30*$B37=0,0,((J$30*(1-$C$10)-$C$9)*$B37-$C$11)/(J$30*$B37))</f>
        <v>0.178744050980076</v>
      </c>
    </row>
    <row r="38">
      <c r="B38" s="57">
        <f>ROUND($C$8*(1+(2)*$C$13),0)</f>
        <v>6000</v>
      </c>
      <c r="C38" s="56">
        <f>(2)*$C$13</f>
        <v>0.2</v>
      </c>
      <c r="D38" s="63">
        <f>IF(D$30*$B38=0,0,((D$30*(1-$C$10)-$C$9)*$B38-$C$11)/(D$30*$B38))</f>
        <v>-0.0710564225690277</v>
      </c>
      <c r="E38" s="63">
        <f>IF(E$30*$B38=0,0,((E$30*(1-$C$10)-$C$9)*$B38-$C$11)/(E$30*$B38))</f>
        <v>-0.0132199546485261</v>
      </c>
      <c r="F38" s="63">
        <f>IF(F$30*$B38=0,0,((F$30*(1-$C$10)-$C$9)*$B38-$C$11)/(F$30*$B38))</f>
        <v>0.0385284640171856</v>
      </c>
      <c r="G38" s="63">
        <f>IF(G$30*$B38=0,0,((G$30*(1-$C$10)-$C$9)*$B38-$C$11)/(G$30*$B38))</f>
        <v>0.0851020408163265</v>
      </c>
      <c r="H38" s="63">
        <f>IF(H$30*$B38=0,0,((H$30*(1-$C$10)-$C$9)*$B38-$C$11)/(H$30*$B38))</f>
        <v>0.127240038872692</v>
      </c>
      <c r="I38" s="63">
        <f>IF(I$30*$B38=0,0,((I$30*(1-$C$10)-$C$9)*$B38-$C$11)/(I$30*$B38))</f>
        <v>0.165547309833024</v>
      </c>
      <c r="J38" s="63">
        <f>IF(J$30*$B38=0,0,((J$30*(1-$C$10)-$C$9)*$B38-$C$11)/(J$30*$B38))</f>
        <v>0.200523513753327</v>
      </c>
    </row>
    <row r="39">
      <c r="B39" s="57">
        <f>ROUND($C$8*(1+(3)*$C$13),0)</f>
        <v>6500</v>
      </c>
      <c r="C39" s="56">
        <f>(3)*$C$13</f>
        <v>0.3</v>
      </c>
      <c r="D39" s="63">
        <f>IF(D$30*$B39=0,0,((D$30*(1-$C$10)-$C$9)*$B39-$C$11)/(D$30*$B39))</f>
        <v>-0.0461233724258935</v>
      </c>
      <c r="E39" s="63">
        <f>IF(E$30*$B39=0,0,((E$30*(1-$C$10)-$C$9)*$B39-$C$11)/(E$30*$B39))</f>
        <v>0.0103279260422117</v>
      </c>
      <c r="F39" s="63">
        <f>IF(F$30*$B39=0,0,((F$30*(1-$C$10)-$C$9)*$B39-$C$11)/(F$30*$B39))</f>
        <v>0.0608369825663057</v>
      </c>
      <c r="G39" s="63">
        <f>IF(G$30*$B39=0,0,((G$30*(1-$C$10)-$C$9)*$B39-$C$11)/(G$30*$B39))</f>
        <v>0.106295133437991</v>
      </c>
      <c r="H39" s="63">
        <f>IF(H$30*$B39=0,0,((H$30*(1-$C$10)-$C$9)*$B39-$C$11)/(H$30*$B39))</f>
        <v>0.14742393660761</v>
      </c>
      <c r="I39" s="63">
        <f>IF(I$30*$B39=0,0,((I$30*(1-$C$10)-$C$9)*$B39-$C$11)/(I$30*$B39))</f>
        <v>0.1848137576709</v>
      </c>
      <c r="J39" s="63">
        <f>IF(J$30*$B39=0,0,((J$30*(1-$C$10)-$C$9)*$B39-$C$11)/(J$30*$B39))</f>
        <v>0.218952289946079</v>
      </c>
    </row>
    <row r="40">
      <c r="B40" s="57">
        <f>ROUND($C$8*(1+(4)*$C$13),0)</f>
        <v>7000</v>
      </c>
      <c r="C40" s="56">
        <f>(4)*$C$13</f>
        <v>0.4</v>
      </c>
      <c r="D40" s="63">
        <f>IF(D$30*$B40=0,0,((D$30*(1-$C$10)-$C$9)*$B40-$C$11)/(D$30*$B40))</f>
        <v>-0.0247521865889213</v>
      </c>
      <c r="E40" s="63">
        <f>IF(E$30*$B40=0,0,((E$30*(1-$C$10)-$C$9)*$B40-$C$11)/(E$30*$B40))</f>
        <v>0.0305118237771299</v>
      </c>
      <c r="F40" s="63">
        <f>IF(F$30*$B40=0,0,((F$30*(1-$C$10)-$C$9)*$B40-$C$11)/(F$30*$B40))</f>
        <v>0.0799585698941229</v>
      </c>
      <c r="G40" s="63">
        <f>IF(G$30*$B40=0,0,((G$30*(1-$C$10)-$C$9)*$B40-$C$11)/(G$30*$B40))</f>
        <v>0.124460641399417</v>
      </c>
      <c r="H40" s="63">
        <f>IF(H$30*$B40=0,0,((H$30*(1-$C$10)-$C$9)*$B40-$C$11)/(H$30*$B40))</f>
        <v>0.164724420380397</v>
      </c>
      <c r="I40" s="63">
        <f>IF(I$30*$B40=0,0,((I$30*(1-$C$10)-$C$9)*$B40-$C$11)/(I$30*$B40))</f>
        <v>0.201327855817652</v>
      </c>
      <c r="J40" s="63">
        <f>IF(J$30*$B40=0,0,((J$30*(1-$C$10)-$C$9)*$B40-$C$11)/(J$30*$B40))</f>
        <v>0.23474838382558</v>
      </c>
    </row>
    <row r="41">
      <c r="B41" s="16" t="inlineStr">
        <is>
          <t>The boxed cell in the middle of each grid is the chosen scenario itself. Read across for price, down for volume.</t>
        </is>
      </c>
    </row>
    <row r="43">
      <c r="B43" s="4" t="inlineStr">
        <is>
          <t>Break-even chart data (chosen scenario)</t>
        </is>
      </c>
      <c r="C43" s="5" t="n"/>
      <c r="D43" s="5" t="n"/>
      <c r="E43" s="5" t="n"/>
      <c r="F43" s="5" t="n"/>
    </row>
    <row r="44" ht="30" customHeight="1">
      <c r="B44" s="20" t="inlineStr">
        <is>
          <t>Units sold</t>
        </is>
      </c>
      <c r="C44" s="20" t="inlineStr">
        <is>
          <t>Revenue</t>
        </is>
      </c>
      <c r="D44" s="20" t="inlineStr">
        <is>
          <t>Total costs</t>
        </is>
      </c>
      <c r="E44" s="20" t="inlineStr">
        <is>
          <t>Fixed costs</t>
        </is>
      </c>
    </row>
    <row r="45">
      <c r="B45" s="65">
        <f>ROUND($C$8*2*0/10,0)</f>
        <v>0</v>
      </c>
      <c r="C45" s="52">
        <f>B45*$C$7</f>
        <v>0</v>
      </c>
      <c r="D45" s="52">
        <f>$C$11+B45*($C$9+$C$7*$C$10)</f>
        <v>81000</v>
      </c>
      <c r="E45" s="52">
        <f>$C$11</f>
        <v>81000</v>
      </c>
    </row>
    <row r="46">
      <c r="B46" s="65">
        <f>ROUND($C$8*2*1/10,0)</f>
        <v>1000</v>
      </c>
      <c r="C46" s="52">
        <f>B46*$C$7</f>
        <v>49000</v>
      </c>
      <c r="D46" s="52">
        <f>$C$11+B46*($C$9+$C$7*$C$10)</f>
        <v>112330</v>
      </c>
      <c r="E46" s="52">
        <f>$C$11</f>
        <v>81000</v>
      </c>
    </row>
    <row r="47">
      <c r="B47" s="65">
        <f>ROUND($C$8*2*2/10,0)</f>
        <v>2000</v>
      </c>
      <c r="C47" s="52">
        <f>B47*$C$7</f>
        <v>98000</v>
      </c>
      <c r="D47" s="52">
        <f>$C$11+B47*($C$9+$C$7*$C$10)</f>
        <v>143660</v>
      </c>
      <c r="E47" s="52">
        <f>$C$11</f>
        <v>81000</v>
      </c>
    </row>
    <row r="48">
      <c r="B48" s="65">
        <f>ROUND($C$8*2*3/10,0)</f>
        <v>3000</v>
      </c>
      <c r="C48" s="52">
        <f>B48*$C$7</f>
        <v>147000</v>
      </c>
      <c r="D48" s="52">
        <f>$C$11+B48*($C$9+$C$7*$C$10)</f>
        <v>174990</v>
      </c>
      <c r="E48" s="52">
        <f>$C$11</f>
        <v>81000</v>
      </c>
    </row>
    <row r="49">
      <c r="B49" s="65">
        <f>ROUND($C$8*2*4/10,0)</f>
        <v>4000</v>
      </c>
      <c r="C49" s="52">
        <f>B49*$C$7</f>
        <v>196000</v>
      </c>
      <c r="D49" s="52">
        <f>$C$11+B49*($C$9+$C$7*$C$10)</f>
        <v>206320</v>
      </c>
      <c r="E49" s="52">
        <f>$C$11</f>
        <v>81000</v>
      </c>
    </row>
    <row r="50">
      <c r="B50" s="65">
        <f>ROUND($C$8*2*5/10,0)</f>
        <v>5000</v>
      </c>
      <c r="C50" s="52">
        <f>B50*$C$7</f>
        <v>245000</v>
      </c>
      <c r="D50" s="52">
        <f>$C$11+B50*($C$9+$C$7*$C$10)</f>
        <v>237650</v>
      </c>
      <c r="E50" s="52">
        <f>$C$11</f>
        <v>81000</v>
      </c>
    </row>
    <row r="51">
      <c r="B51" s="65">
        <f>ROUND($C$8*2*6/10,0)</f>
        <v>6000</v>
      </c>
      <c r="C51" s="52">
        <f>B51*$C$7</f>
        <v>294000</v>
      </c>
      <c r="D51" s="52">
        <f>$C$11+B51*($C$9+$C$7*$C$10)</f>
        <v>268980</v>
      </c>
      <c r="E51" s="52">
        <f>$C$11</f>
        <v>81000</v>
      </c>
    </row>
    <row r="52">
      <c r="B52" s="65">
        <f>ROUND($C$8*2*7/10,0)</f>
        <v>7000</v>
      </c>
      <c r="C52" s="52">
        <f>B52*$C$7</f>
        <v>343000</v>
      </c>
      <c r="D52" s="52">
        <f>$C$11+B52*($C$9+$C$7*$C$10)</f>
        <v>300310</v>
      </c>
      <c r="E52" s="52">
        <f>$C$11</f>
        <v>81000</v>
      </c>
    </row>
    <row r="53">
      <c r="B53" s="65">
        <f>ROUND($C$8*2*8/10,0)</f>
        <v>8000</v>
      </c>
      <c r="C53" s="52">
        <f>B53*$C$7</f>
        <v>392000</v>
      </c>
      <c r="D53" s="52">
        <f>$C$11+B53*($C$9+$C$7*$C$10)</f>
        <v>331640</v>
      </c>
      <c r="E53" s="52">
        <f>$C$11</f>
        <v>81000</v>
      </c>
    </row>
    <row r="54">
      <c r="B54" s="65">
        <f>ROUND($C$8*2*9/10,0)</f>
        <v>9000</v>
      </c>
      <c r="C54" s="52">
        <f>B54*$C$7</f>
        <v>441000</v>
      </c>
      <c r="D54" s="52">
        <f>$C$11+B54*($C$9+$C$7*$C$10)</f>
        <v>362970</v>
      </c>
      <c r="E54" s="52">
        <f>$C$11</f>
        <v>81000</v>
      </c>
    </row>
    <row r="55">
      <c r="B55" s="65">
        <f>ROUND($C$8*2*10/10,0)</f>
        <v>10000</v>
      </c>
      <c r="C55" s="52">
        <f>B55*$C$7</f>
        <v>490000</v>
      </c>
      <c r="D55" s="52">
        <f>$C$11+B55*($C$9+$C$7*$C$10)</f>
        <v>394300</v>
      </c>
      <c r="E55" s="52">
        <f>$C$11</f>
        <v>81000</v>
      </c>
    </row>
    <row r="57">
      <c r="B57" s="16" t="inlineStr">
        <is>
          <t>Where the red line (total costs) crosses the black line (revenue) is your break-even point.</t>
        </is>
      </c>
    </row>
    <row r="58">
      <c r="B58" s="17" t="inlineStr">
        <is>
          <t>axcellservice.com · Free template · Book a free 30-minute consultation: axcellservice.com/contact</t>
        </is>
      </c>
    </row>
  </sheetData>
  <mergeCells count="1">
    <mergeCell ref="C6:E6"/>
  </mergeCells>
  <conditionalFormatting sqref="D18:J26">
    <cfRule type="cellIs" priority="1" operator="lessThan" dxfId="4">
      <formula>0</formula>
    </cfRule>
    <cfRule type="cellIs" priority="2" operator="greaterThanOrEqual" dxfId="5">
      <formula>0</formula>
    </cfRule>
  </conditionalFormatting>
  <conditionalFormatting sqref="D32:J40">
    <cfRule type="cellIs" priority="3" operator="lessThan" dxfId="4">
      <formula>0</formula>
    </cfRule>
    <cfRule type="cellIs" priority="4" operator="greaterThanOrEqual" dxfId="5">
      <formula>0</formula>
    </cfRule>
  </conditionalFormatting>
  <dataValidations count="2">
    <dataValidation sqref="C6" showDropDown="0" showInputMessage="0" showErrorMessage="1" allowBlank="0" error="Pick one of the scenario names from the 'Scenarios' sheet." type="list">
      <formula1>=Scenarios!$C$7:$E$7</formula1>
    </dataValidation>
    <dataValidation sqref="C12:C13" showDropDown="0" showInputMessage="0" showErrorMessage="1" allowBlank="0" error="Enter a step between 1% and 25%." type="decimal" operator="between">
      <formula1>0.01</formula1>
      <formula2>0.25</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2026-11-05T09:10:53Z</dcterms:created>
  <dcterms:modified xmlns:dcterms="http://purl.org/dc/terms/" xmlns:xsi="http://www.w3.org/2001/XMLSchema-instance" xsi:type="dcterms:W3CDTF">2026-11-05T09:10:53Z</dcterms:modified>
</cp:coreProperties>
</file>