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Forecast" sheetId="4" state="visible" r:id="rId4"/>
    <sheet xmlns:r="http://schemas.openxmlformats.org/officeDocument/2006/relationships" name="Stages &amp; lists" sheetId="5" state="visible" r:id="rId5"/>
  </sheets>
  <definedNames>
    <definedName name="_xlnm.Print_Area" localSheetId="1">'Summary'!$A$1:$H$51</definedName>
    <definedName name="_xlnm._FilterDatabase" localSheetId="2" hidden="1">'Pipeline'!$B$5:$O$65</definedName>
    <definedName name="_xlnm.Print_Titles" localSheetId="2">'Pipeline'!$4:$5</definedName>
    <definedName name="_xlnm.Print_Area" localSheetId="2">'Pipeline'!$A$1:$O$68</definedName>
    <definedName name="_xlnm.Print_Titles" localSheetId="3">'Forecast'!$5:$5</definedName>
    <definedName name="_xlnm.Print_Area" localSheetId="3">'Forecast'!$A$1:$L$44</definedName>
    <definedName name="_xlnm.Print_Area" localSheetId="4">'Stages &amp; lists'!$A$1:$I$18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mmm yyyy"/>
    <numFmt numFmtId="166" formatCode="0.0%;(0.0%);&quot;-&quot;"/>
    <numFmt numFmtId="167" formatCode="#,##0;(#,##0);&quot;-&quot;"/>
    <numFmt numFmtId="168" formatCode="dd mmm yyyy"/>
    <numFmt numFmtId="169" formatCode="mmm yy"/>
    <numFmt numFmtId="170" formatCode="0.0&quot;x&quot;"/>
  </numFmts>
  <fonts count="13">
    <font>
      <name val="Calibri"/>
      <family val="2"/>
      <color theme="1"/>
      <sz val="11"/>
      <scheme val="minor"/>
    </font>
    <font>
      <name val="Arial"/>
      <b val="1"/>
      <color rgb="00CC1923"/>
      <sz val="18"/>
    </font>
    <font>
      <name val="Arial"/>
      <b val="1"/>
      <color rgb="00111111"/>
      <sz val="11"/>
    </font>
    <font>
      <name val="Arial"/>
      <i val="1"/>
      <color rgb="00666666"/>
      <sz val="10"/>
    </font>
    <font>
      <name val="Arial"/>
      <b val="1"/>
      <color rgb="00FFFFFF"/>
    </font>
    <font>
      <name val="Arial"/>
      <b val="1"/>
    </font>
    <font>
      <name val="Arial"/>
    </font>
    <font>
      <name val="Arial"/>
      <color rgb="000000FF"/>
    </font>
    <font>
      <name val="Arial"/>
      <b val="1"/>
      <color rgb="00CC1923"/>
    </font>
    <font>
      <name val="Arial"/>
      <color rgb="00666666"/>
      <sz val="9"/>
    </font>
    <font>
      <name val="Arial"/>
      <i val="1"/>
      <color rgb="00666666"/>
      <sz val="9"/>
    </font>
    <font>
      <name val="Arial"/>
      <b val="1"/>
      <color rgb="00CC1923"/>
      <sz val="9"/>
    </font>
    <font>
      <name val="Arial"/>
      <b val="1"/>
      <color rgb="00CC1923"/>
      <sz val="16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FF99"/>
      </patternFill>
    </fill>
    <fill>
      <patternFill patternType="solid">
        <fgColor rgb="00F0EEEA"/>
      </patternFill>
    </fill>
  </fills>
  <borders count="4">
    <border>
      <left/>
      <right/>
      <top/>
      <bottom/>
      <diagonal/>
    </border>
    <border>
      <bottom style="thin">
        <color rgb="00BFBFBF"/>
      </bottom>
    </border>
    <border>
      <top style="thin">
        <color rgb="00111111"/>
      </top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  <xf numFmtId="0" fontId="7" fillId="3" borderId="0" applyAlignment="1" pivotButton="0" quotePrefix="0" xfId="0">
      <alignment horizontal="center"/>
    </xf>
    <xf numFmtId="0" fontId="6" fillId="0" borderId="0" pivotButton="0" quotePrefix="0" xfId="0"/>
    <xf numFmtId="0" fontId="6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6" fillId="0" borderId="1" applyAlignment="1" pivotButton="0" quotePrefix="0" xfId="0">
      <alignment vertical="top"/>
    </xf>
    <xf numFmtId="0" fontId="7" fillId="3" borderId="1" applyAlignment="1" pivotButton="0" quotePrefix="0" xfId="0">
      <alignment horizontal="left" vertical="top"/>
    </xf>
    <xf numFmtId="0" fontId="9" fillId="0" borderId="1" applyAlignment="1" pivotButton="0" quotePrefix="0" xfId="0">
      <alignment vertical="top" wrapText="1"/>
    </xf>
    <xf numFmtId="165" fontId="7" fillId="3" borderId="1" applyAlignment="1" pivotButton="0" quotePrefix="0" xfId="0">
      <alignment horizontal="left"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9" fillId="0" borderId="0" pivotButton="0" quotePrefix="0" xfId="0"/>
    <xf numFmtId="0" fontId="8" fillId="0" borderId="0" pivotButton="0" quotePrefix="0" xfId="0"/>
    <xf numFmtId="0" fontId="6" fillId="0" borderId="1" pivotButton="0" quotePrefix="0" xfId="0"/>
    <xf numFmtId="167" fontId="6" fillId="0" borderId="1" pivotButton="0" quotePrefix="0" xfId="0"/>
    <xf numFmtId="0" fontId="9" fillId="0" borderId="1" pivotButton="0" quotePrefix="0" xfId="0"/>
    <xf numFmtId="0" fontId="0" fillId="0" borderId="1" pivotButton="0" quotePrefix="0" xfId="0"/>
    <xf numFmtId="0" fontId="5" fillId="0" borderId="1" pivotButton="0" quotePrefix="0" xfId="0"/>
    <xf numFmtId="167" fontId="5" fillId="0" borderId="1" pivotButton="0" quotePrefix="0" xfId="0"/>
    <xf numFmtId="166" fontId="6" fillId="0" borderId="1" pivotButton="0" quotePrefix="0" xfId="0"/>
    <xf numFmtId="170" fontId="5" fillId="0" borderId="1" pivotButton="0" quotePrefix="0" xfId="0"/>
    <xf numFmtId="170" fontId="6" fillId="0" borderId="1" pivotButton="0" quotePrefix="0" xfId="0"/>
    <xf numFmtId="0" fontId="0" fillId="0" borderId="3" pivotButton="0" quotePrefix="0" xfId="0"/>
    <xf numFmtId="0" fontId="6" fillId="0" borderId="2" pivotButton="0" quotePrefix="0" xfId="0"/>
    <xf numFmtId="1" fontId="6" fillId="0" borderId="2" pivotButton="0" quotePrefix="0" xfId="0"/>
    <xf numFmtId="0" fontId="9" fillId="0" borderId="2" pivotButton="0" quotePrefix="0" xfId="0"/>
    <xf numFmtId="0" fontId="0" fillId="0" borderId="2" pivotButton="0" quotePrefix="0" xfId="0"/>
    <xf numFmtId="1" fontId="6" fillId="0" borderId="1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4" borderId="2" pivotButton="0" quotePrefix="0" xfId="0"/>
    <xf numFmtId="1" fontId="5" fillId="4" borderId="2" pivotButton="0" quotePrefix="0" xfId="0"/>
    <xf numFmtId="167" fontId="5" fillId="4" borderId="2" pivotButton="0" quotePrefix="0" xfId="0"/>
    <xf numFmtId="0" fontId="0" fillId="4" borderId="2" pivotButton="0" quotePrefix="0" xfId="0"/>
    <xf numFmtId="166" fontId="5" fillId="4" borderId="2" pivotButton="0" quotePrefix="0" xfId="0"/>
    <xf numFmtId="0" fontId="8" fillId="4" borderId="2" pivotButton="0" quotePrefix="0" xfId="0"/>
    <xf numFmtId="0" fontId="7" fillId="3" borderId="1" pivotButton="0" quotePrefix="0" xfId="0"/>
    <xf numFmtId="167" fontId="7" fillId="3" borderId="1" pivotButton="0" quotePrefix="0" xfId="0"/>
    <xf numFmtId="166" fontId="7" fillId="3" borderId="1" pivotButton="0" quotePrefix="0" xfId="0"/>
    <xf numFmtId="168" fontId="7" fillId="3" borderId="1" pivotButton="0" quotePrefix="0" xfId="0"/>
    <xf numFmtId="169" fontId="6" fillId="0" borderId="1" pivotButton="0" quotePrefix="0" xfId="0"/>
    <xf numFmtId="0" fontId="6" fillId="0" borderId="1" applyAlignment="1" pivotButton="0" quotePrefix="0" xfId="0">
      <alignment horizontal="center"/>
    </xf>
    <xf numFmtId="0" fontId="8" fillId="0" borderId="1" pivotButton="0" quotePrefix="0" xfId="0"/>
    <xf numFmtId="165" fontId="5" fillId="0" borderId="1" pivotButton="0" quotePrefix="0" xfId="0"/>
    <xf numFmtId="0" fontId="4" fillId="0" borderId="0" applyAlignment="1" pivotButton="0" quotePrefix="0" xfId="0">
      <alignment horizontal="center" vertical="center" wrapText="1"/>
    </xf>
    <xf numFmtId="166" fontId="5" fillId="0" borderId="1" pivotButton="0" quotePrefix="0" xfId="0"/>
  </cellXfs>
  <cellStyles count="1">
    <cellStyle name="Normal" xfId="0" builtinId="0" hidden="0"/>
  </cellStyles>
  <dxfs count="7">
    <dxf>
      <font>
        <name val="Arial"/>
        <b val="1"/>
        <color rgb="00FFFFFF"/>
      </font>
      <fill>
        <patternFill patternType="solid">
          <fgColor rgb="001E7B34"/>
        </patternFill>
      </fill>
    </dxf>
    <dxf>
      <font>
        <name val="Arial"/>
        <b val="1"/>
        <color rgb="00FFFFFF"/>
      </font>
      <fill>
        <patternFill patternType="solid">
          <fgColor rgb="00CC1923"/>
        </patternFill>
      </fill>
    </dxf>
    <dxf>
      <font>
        <name val="Arial"/>
        <b val="1"/>
        <color rgb="00CC1923"/>
      </font>
    </dxf>
    <dxf>
      <font>
        <name val="Arial"/>
        <b val="1"/>
        <color rgb="001E7B34"/>
      </font>
    </dxf>
    <dxf>
      <font>
        <name val="Arial"/>
        <color rgb="008C8C8C"/>
      </font>
    </dxf>
    <dxf>
      <font>
        <name val="Arial"/>
        <b val="1"/>
        <i val="1"/>
      </font>
    </dxf>
    <dxf>
      <font>
        <name val="Arial"/>
        <color rgb="001E7B3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Weighted forecast vs target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'Forecast'!E5</f>
            </strRef>
          </tx>
          <spPr>
            <a:solidFill xmlns:a="http://schemas.openxmlformats.org/drawingml/2006/main">
              <a:srgbClr val="111111"/>
            </a:solidFill>
            <a:ln xmlns:a="http://schemas.openxmlformats.org/drawingml/2006/main">
              <a:solidFill>
                <a:srgbClr val="111111"/>
              </a:solidFill>
              <a:prstDash val="solid"/>
            </a:ln>
          </spPr>
          <cat>
            <numRef>
              <f>'Forecast'!$B$6:$B$17</f>
            </numRef>
          </cat>
          <val>
            <numRef>
              <f>'Forecast'!$E$6:$E$17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'Forecast'!G5</f>
            </strRef>
          </tx>
          <spPr>
            <a:ln xmlns:a="http://schemas.openxmlformats.org/drawingml/2006/main" w="28575">
              <a:solidFill>
                <a:srgbClr val="CC192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'Forecast'!$G$6:$G$17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25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D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2" customWidth="1" min="3" max="3"/>
    <col width="62" customWidth="1" min="4" max="4"/>
    <col width="2" customWidth="1" min="5" max="5"/>
  </cols>
  <sheetData>
    <row r="1" ht="28" customHeight="1">
      <c r="B1" s="1" t="inlineStr">
        <is>
          <t>Sales Pipeline &amp; Weighted Forecast</t>
        </is>
      </c>
    </row>
    <row r="2">
      <c r="B2" s="2" t="inlineStr">
        <is>
          <t>Axcell Financial Consulting</t>
        </is>
      </c>
    </row>
    <row r="3">
      <c r="B3" s="3" t="inlineStr">
        <is>
          <t>Turn your deal list into a realistic monthly revenue forecast</t>
        </is>
      </c>
    </row>
    <row r="5">
      <c r="B5" s="4" t="inlineStr">
        <is>
          <t>How to use it (about 10 minutes)</t>
        </is>
      </c>
      <c r="C5" s="5" t="n"/>
      <c r="D5" s="5" t="n"/>
    </row>
    <row r="6" ht="30" customHeight="1">
      <c r="B6" s="6" t="inlineStr">
        <is>
          <t>Step 1</t>
        </is>
      </c>
      <c r="C6" s="7" t="inlineStr">
        <is>
          <t>Fill 'Your settings' below. The forecast start month sets the 12 months shown on 'Forecast' (use the 1st of the month).</t>
        </is>
      </c>
    </row>
    <row r="7" ht="30" customHeight="1">
      <c r="B7" s="6" t="inlineStr">
        <is>
          <t>Step 2</t>
        </is>
      </c>
      <c r="C7" s="7" t="inlineStr">
        <is>
          <t>On 'Stages &amp; lists', check the sales stages and the default probability (chance of winning) for each. Use your own history if you have it. Add your salespeople and lead sources.</t>
        </is>
      </c>
    </row>
    <row r="8" ht="30" customHeight="1">
      <c r="B8" s="6" t="inlineStr">
        <is>
          <t>Step 3</t>
        </is>
      </c>
      <c r="C8" s="7" t="inlineStr">
        <is>
          <t>On 'Pipeline', enter one row per deal: customer, owner, stage, value and expected close date. The stage sets the probability; type a % in 'Probability override' only for a deal you know is different.</t>
        </is>
      </c>
    </row>
    <row r="9" ht="30" customHeight="1">
      <c r="B9" s="6" t="inlineStr">
        <is>
          <t>Step 4</t>
        </is>
      </c>
      <c r="C9" s="7" t="inlineStr">
        <is>
          <t>On 'Forecast', enter your monthly sales target. You get the weighted forecast by month, the gap to target and the running total.</t>
        </is>
      </c>
    </row>
    <row r="10" ht="30" customHeight="1">
      <c r="B10" s="6" t="inlineStr">
        <is>
          <t>Step 5</t>
        </is>
      </c>
      <c r="C10" s="7" t="inlineStr">
        <is>
          <t>Each week, move deals to their new stage and update close dates. Fix anything flagged in the 'Check' column first.</t>
        </is>
      </c>
    </row>
    <row r="12">
      <c r="B12" s="4" t="inlineStr">
        <is>
          <t>Colour legend</t>
        </is>
      </c>
      <c r="C12" s="5" t="n"/>
      <c r="D12" s="5" t="n"/>
    </row>
    <row r="13">
      <c r="B13" s="8" t="inlineStr">
        <is>
          <t>1,250</t>
        </is>
      </c>
      <c r="C13" s="9" t="inlineStr">
        <is>
          <t>Input: blue text on light-yellow. Type your own numbers here.</t>
        </is>
      </c>
    </row>
    <row r="14">
      <c r="B14" s="10" t="inlineStr">
        <is>
          <t>1,250</t>
        </is>
      </c>
      <c r="C14" s="9" t="inlineStr">
        <is>
          <t>Formula: black text. Calculated for you, do not overwrite.</t>
        </is>
      </c>
    </row>
    <row r="15">
      <c r="B15" s="10" t="inlineStr">
        <is>
          <t>(1,250)</t>
        </is>
      </c>
      <c r="C15" s="9" t="inlineStr">
        <is>
          <t>Brackets mean a negative number (a loss, an outflow or a shortfall).</t>
        </is>
      </c>
    </row>
    <row r="16" ht="28" customHeight="1">
      <c r="B16" s="11" t="inlineStr">
        <is>
          <t>Update</t>
        </is>
      </c>
      <c r="C16" s="7" t="inlineStr">
        <is>
          <t>Red 'Check' flag on 'Pipeline' = missing data or a close date that has already passed. Fix it so the forecast stays honest.</t>
        </is>
      </c>
    </row>
    <row r="17">
      <c r="B17" s="11" t="inlineStr">
        <is>
          <t>(25,000)</t>
        </is>
      </c>
      <c r="C17" s="7" t="inlineStr">
        <is>
          <t>Gap in brackets = weighted forecast below target for that month.</t>
        </is>
      </c>
    </row>
    <row r="19">
      <c r="B19" s="4" t="inlineStr">
        <is>
          <t>Your settings</t>
        </is>
      </c>
      <c r="C19" s="5" t="n"/>
      <c r="D19" s="5" t="n"/>
    </row>
    <row r="20">
      <c r="B20" s="12" t="inlineStr">
        <is>
          <t>Company name</t>
        </is>
      </c>
      <c r="C20" s="13" t="inlineStr">
        <is>
          <t>Example Services Co.</t>
        </is>
      </c>
      <c r="D20" s="14" t="inlineStr">
        <is>
          <t>Shown on the summary.</t>
        </is>
      </c>
    </row>
    <row r="21" ht="26" customHeight="1">
      <c r="B21" s="12" t="inlineStr">
        <is>
          <t>Currency</t>
        </is>
      </c>
      <c r="C21" s="13" t="inlineStr">
        <is>
          <t>Your currency</t>
        </is>
      </c>
      <c r="D21" s="14" t="inlineStr">
        <is>
          <t>Type your currency code, e.g. SAR, AED, EGP, USD. Labels only; no conversion.</t>
        </is>
      </c>
    </row>
    <row r="22" ht="26" customHeight="1">
      <c r="B22" s="12" t="inlineStr">
        <is>
          <t>Forecast start month</t>
        </is>
      </c>
      <c r="C22" s="15" t="n">
        <v>46327</v>
      </c>
      <c r="D22" s="14" t="inlineStr">
        <is>
          <t>First of the month, e.g. 01 Nov 2026. The forecast runs for 12 months from here.</t>
        </is>
      </c>
    </row>
    <row r="24">
      <c r="B24" s="4" t="inlineStr">
        <is>
          <t>Good to know</t>
        </is>
      </c>
      <c r="C24" s="5" t="n"/>
      <c r="D24" s="5" t="n"/>
    </row>
    <row r="25" ht="30" customHeight="1">
      <c r="B25" s="7" t="inlineStr">
        <is>
          <t>• Weighted value = deal value × probability. One deal will not close at 50%; across many deals, the weighted total is a realistic expectation of what will close.</t>
        </is>
      </c>
    </row>
    <row r="26" ht="30" customHeight="1">
      <c r="B26" s="7" t="inlineStr">
        <is>
          <t>• Won deals count at 100% in the month they closed; lost deals count at 0%. Keep them in the list: they feed your win rate.</t>
        </is>
      </c>
    </row>
    <row r="27" ht="30" customHeight="1">
      <c r="B27" s="7" t="inlineStr">
        <is>
          <t>• The default probabilities are Example values, not a market benchmark. After a few months, set them from your own results: of the deals that reached each stage, what share did you win?</t>
        </is>
      </c>
    </row>
    <row r="28" ht="30" customHeight="1">
      <c r="B28" s="7" t="inlineStr">
        <is>
          <t>• Pipeline coverage = open pipeline ÷ the part of the target not yet won. If your win rate is 30%, you need roughly 1 ÷ 30% ≈ 3.3 times the gap in open pipeline.</t>
        </is>
      </c>
    </row>
    <row r="30">
      <c r="B30" s="16" t="inlineStr">
        <is>
          <t>Illustrative tool for decision support, not financial, tax or legal advice. The example figures are made up for illustration.</t>
        </is>
      </c>
    </row>
    <row r="31">
      <c r="B31" s="17" t="inlineStr">
        <is>
          <t>axcellservice.com · Free template · Book a free 30-minute consultation: axcellservice.com/contact</t>
        </is>
      </c>
    </row>
  </sheetData>
  <mergeCells count="15">
    <mergeCell ref="B28:D28"/>
    <mergeCell ref="C6:D6"/>
    <mergeCell ref="C10:D10"/>
    <mergeCell ref="C7:D7"/>
    <mergeCell ref="C16:D16"/>
    <mergeCell ref="C15:D15"/>
    <mergeCell ref="B25:D25"/>
    <mergeCell ref="B26:D26"/>
    <mergeCell ref="B27:D27"/>
    <mergeCell ref="C14:D14"/>
    <mergeCell ref="C13:D13"/>
    <mergeCell ref="B30:D30"/>
    <mergeCell ref="C9:D9"/>
    <mergeCell ref="C17:D17"/>
    <mergeCell ref="C8:D8"/>
  </mergeCells>
  <dataValidations count="2">
    <dataValidation sqref="C22" showDropDown="0" showInputMessage="0" showErrorMessage="1" allowBlank="0" errorTitle="Date needed" error="Enter the first day of a month, e.g. 01/11/2026." type="date" operator="greaterThan">
      <formula1>36526</formula1>
    </dataValidation>
    <dataValidation sqref="C22" showDropDown="0" showInputMessage="0" showErrorMessage="1" allowBlank="0" errorTitle="Date needed" error="Enter the first day of a month, e.g. 01/11/2026." type="date" operator="greaterThan">
      <formula1>36526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&amp;L&amp;8 Axcell Financial Consulting · axcellservice.com · Free template&amp;R&amp;8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H5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50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</cols>
  <sheetData>
    <row r="1" ht="26" customHeight="1">
      <c r="B1" s="18" t="inlineStr">
        <is>
          <t>Pipeline summary</t>
        </is>
      </c>
    </row>
    <row r="2">
      <c r="B2" s="19" t="inlineStr">
        <is>
          <t>Axcell Financial Consulting · Sales Pipeline &amp; Weighted Forecast</t>
        </is>
      </c>
    </row>
    <row r="3">
      <c r="B3" s="16" t="str">
        <f>IF('Start here'!$C$20="","",'Start here'!$C$20&amp;" · ")&amp;"Amounts in "&amp;'Start here'!$C$21&amp;" · 12 months from "&amp;TEXT('Start here'!$C$22,"mmm yyyy")</f>
        <v>Example Services Co. · Amounts in Your currency · 12 months from Nov 2026</v>
      </c>
    </row>
    <row r="4">
      <c r="B4" s="20" t="str">
        <f>"Weighted forecast "&amp;TEXT(C9,"#,##0")&amp;" vs target "&amp;TEXT(C7,"#,##0")&amp;" ("&amp;TEXT(C11,"0%")&amp;"). "&amp;C16&amp;"."</f>
        <v>Weighted forecast 925,950 vs target 1,440,000 (64%). Pipeline too thin: find more deals.</v>
      </c>
    </row>
    <row r="6">
      <c r="B6" s="4" t="inlineStr">
        <is>
          <t>1. The 12 months at a glance</t>
        </is>
      </c>
      <c r="C6" s="5" t="n"/>
      <c r="D6" s="5" t="n"/>
      <c r="E6" s="5" t="n"/>
      <c r="F6" s="5" t="n"/>
      <c r="G6" s="5" t="n"/>
      <c r="H6" s="5" t="n"/>
    </row>
    <row r="7">
      <c r="B7" s="21" t="inlineStr">
        <is>
          <t>Sales target (12 months)</t>
        </is>
      </c>
      <c r="C7" s="22">
        <f>Forecast!G18</f>
        <v>1440000</v>
      </c>
      <c r="D7" s="23" t="inlineStr">
        <is>
          <t>From 'Forecast'.</t>
        </is>
      </c>
      <c r="E7" s="24" t="n"/>
      <c r="F7" s="24" t="n"/>
      <c r="G7" s="24" t="n"/>
      <c r="H7" s="24" t="n"/>
    </row>
    <row r="8">
      <c r="B8" s="21" t="inlineStr">
        <is>
          <t>Already won in the 12 months</t>
        </is>
      </c>
      <c r="C8" s="22">
        <f>Forecast!F18</f>
        <v>145000</v>
      </c>
      <c r="D8" s="23" t="inlineStr">
        <is>
          <t>Deals at stage Won with a close date in the window.</t>
        </is>
      </c>
      <c r="E8" s="24" t="n"/>
      <c r="F8" s="24" t="n"/>
      <c r="G8" s="24" t="n"/>
      <c r="H8" s="24" t="n"/>
    </row>
    <row r="9">
      <c r="B9" s="25" t="inlineStr">
        <is>
          <t>Weighted forecast (12 months, incl. won)</t>
        </is>
      </c>
      <c r="C9" s="26">
        <f>Forecast!E18</f>
        <v>925950</v>
      </c>
      <c r="D9" s="23" t="inlineStr">
        <is>
          <t>Won deals at 100% plus open deals × probability.</t>
        </is>
      </c>
      <c r="E9" s="24" t="n"/>
      <c r="F9" s="24" t="n"/>
      <c r="G9" s="24" t="n"/>
      <c r="H9" s="24" t="n"/>
    </row>
    <row r="10">
      <c r="B10" s="25" t="inlineStr">
        <is>
          <t>Gap: weighted forecast − target</t>
        </is>
      </c>
      <c r="C10" s="26">
        <f>C9-C7</f>
        <v>-514050</v>
      </c>
      <c r="D10" s="23" t="inlineStr">
        <is>
          <t>Brackets = forecast below target.</t>
        </is>
      </c>
      <c r="E10" s="24" t="n"/>
      <c r="F10" s="24" t="n"/>
      <c r="G10" s="24" t="n"/>
      <c r="H10" s="24" t="n"/>
    </row>
    <row r="11">
      <c r="B11" s="21" t="inlineStr">
        <is>
          <t>Forecast as % of target</t>
        </is>
      </c>
      <c r="C11" s="27">
        <f>IF(C7=0,0,C9/C7)</f>
        <v>0.643020833333333</v>
      </c>
      <c r="D11" s="23" t="inlineStr"/>
      <c r="E11" s="24" t="n"/>
      <c r="F11" s="24" t="n"/>
      <c r="G11" s="24" t="n"/>
      <c r="H11" s="24" t="n"/>
    </row>
    <row r="12">
      <c r="B12" s="21" t="inlineStr">
        <is>
          <t>Open pipeline closing in the 12 months (unweighted)</t>
        </is>
      </c>
      <c r="C12" s="22">
        <f>SUMIFS(Pipeline!$G$6:$G$65,Pipeline!$M$6:$M$65,"Open",Pipeline!$L$6:$L$65,"&gt;="&amp;'Start here'!$C$22,Pipeline!$L$6:$L$65,"&lt;="&amp;EDATE('Start here'!$C$22,11))</f>
        <v>2175000</v>
      </c>
      <c r="D12" s="23" t="inlineStr">
        <is>
          <t>Full value of open deals expected to close in the window.</t>
        </is>
      </c>
      <c r="E12" s="24" t="n"/>
      <c r="F12" s="24" t="n"/>
      <c r="G12" s="24" t="n"/>
      <c r="H12" s="24" t="n"/>
    </row>
    <row r="13">
      <c r="B13" s="21" t="inlineStr">
        <is>
          <t>Still to win: target − already won</t>
        </is>
      </c>
      <c r="C13" s="22">
        <f>MAX(0,C7-C8)</f>
        <v>1295000</v>
      </c>
      <c r="D13" s="23" t="inlineStr"/>
      <c r="E13" s="24" t="n"/>
      <c r="F13" s="24" t="n"/>
      <c r="G13" s="24" t="n"/>
      <c r="H13" s="24" t="n"/>
    </row>
    <row r="14">
      <c r="B14" s="25" t="inlineStr">
        <is>
          <t>Pipeline coverage (open pipeline ÷ still to win)</t>
        </is>
      </c>
      <c r="C14" s="28">
        <f>IF(C13=0,0,C12/C13)</f>
        <v>1.67953667953668</v>
      </c>
      <c r="D14" s="23" t="inlineStr">
        <is>
          <t>How many times the open pipeline covers what you still need to win.</t>
        </is>
      </c>
      <c r="E14" s="24" t="n"/>
      <c r="F14" s="24" t="n"/>
      <c r="G14" s="24" t="n"/>
      <c r="H14" s="24" t="n"/>
    </row>
    <row r="15">
      <c r="B15" s="21" t="inlineStr">
        <is>
          <t>Coverage needed at your win rate (1 ÷ win rate)</t>
        </is>
      </c>
      <c r="C15" s="29">
        <f>IF(C20=0,"n/a",1/C20)</f>
        <v>2.02904564315353</v>
      </c>
      <c r="D15" s="23" t="inlineStr">
        <is>
          <t>Based on your won vs lost value below. Needs some closed deals to be meaningful.</t>
        </is>
      </c>
      <c r="E15" s="24" t="n"/>
      <c r="F15" s="24" t="n"/>
      <c r="G15" s="24" t="n"/>
      <c r="H15" s="24" t="n"/>
    </row>
    <row r="16">
      <c r="B16" s="25" t="inlineStr">
        <is>
          <t>Verdict</t>
        </is>
      </c>
      <c r="C16" s="25" t="str">
        <f>IF(C7=0,"Enter targets on Forecast",IF(C10&gt;=0,"On track: weighted forecast meets target",IF(AND(ISNUMBER(C15),C14&lt;C15),"Pipeline too thin: find more deals","Gap to close: push deals forward or raise win rate")))</f>
        <v>Pipeline too thin: find more deals</v>
      </c>
      <c r="D16" s="30" t="n"/>
      <c r="E16" s="30" t="n"/>
      <c r="F16" s="30" t="n"/>
      <c r="G16" s="30" t="n"/>
      <c r="H16" s="30" t="n"/>
    </row>
    <row r="17">
      <c r="B17" s="31" t="inlineStr">
        <is>
          <t>Open deals (number)</t>
        </is>
      </c>
      <c r="C17" s="32">
        <f>COUNTIFS(Pipeline!$M$6:$M$65,"Open")</f>
        <v>20</v>
      </c>
      <c r="D17" s="33" t="inlineStr"/>
      <c r="E17" s="34" t="n"/>
      <c r="F17" s="34" t="n"/>
      <c r="G17" s="34" t="n"/>
      <c r="H17" s="34" t="n"/>
    </row>
    <row r="18">
      <c r="B18" s="21" t="inlineStr">
        <is>
          <t>Open pipeline, all dates (unweighted)</t>
        </is>
      </c>
      <c r="C18" s="22">
        <f>SUMIFS(Pipeline!$G$6:$G$65,Pipeline!$M$6:$M$65,"Open")</f>
        <v>2612000</v>
      </c>
      <c r="D18" s="23" t="inlineStr"/>
      <c r="E18" s="24" t="n"/>
      <c r="F18" s="24" t="n"/>
      <c r="G18" s="24" t="n"/>
      <c r="H18" s="24" t="n"/>
    </row>
    <row r="19">
      <c r="B19" s="21" t="inlineStr">
        <is>
          <t>Open pipeline, all dates (weighted)</t>
        </is>
      </c>
      <c r="C19" s="22">
        <f>SUMIFS(Pipeline!$J$6:$J$65,Pipeline!$M$6:$M$65,"Open")</f>
        <v>867700</v>
      </c>
      <c r="D19" s="23" t="inlineStr"/>
      <c r="E19" s="24" t="n"/>
      <c r="F19" s="24" t="n"/>
      <c r="G19" s="24" t="n"/>
      <c r="H19" s="24" t="n"/>
    </row>
    <row r="20">
      <c r="B20" s="21" t="inlineStr">
        <is>
          <t>Win rate by value (won ÷ won + lost)</t>
        </is>
      </c>
      <c r="C20" s="27">
        <f>IF(SUMIFS(Pipeline!$G$6:$G$65,Pipeline!$M$6:$M$65,"Won")+SUMIFS(Pipeline!$G$6:$G$65,Pipeline!$M$6:$M$65,"Lost")=0,0,SUMIFS(Pipeline!$G$6:$G$65,Pipeline!$M$6:$M$65,"Won")/(SUMIFS(Pipeline!$G$6:$G$65,Pipeline!$M$6:$M$65,"Won")+SUMIFS(Pipeline!$G$6:$G$65,Pipeline!$M$6:$M$65,"Lost")))</f>
        <v>0.492842535787321</v>
      </c>
      <c r="D20" s="23" t="inlineStr">
        <is>
          <t>All won and lost deals in the list.</t>
        </is>
      </c>
      <c r="E20" s="24" t="n"/>
      <c r="F20" s="24" t="n"/>
      <c r="G20" s="24" t="n"/>
      <c r="H20" s="24" t="n"/>
    </row>
    <row r="21">
      <c r="B21" s="21" t="inlineStr">
        <is>
          <t>Win rate by number of deals</t>
        </is>
      </c>
      <c r="C21" s="27">
        <f>IF(COUNTIFS(Pipeline!$M$6:$M$65,"Won")+COUNTIFS(Pipeline!$M$6:$M$65,"Lost")=0,0,COUNTIFS(Pipeline!$M$6:$M$65,"Won")/(COUNTIFS(Pipeline!$M$6:$M$65,"Won")+COUNTIFS(Pipeline!$M$6:$M$65,"Lost")))</f>
        <v>0.5</v>
      </c>
      <c r="D21" s="23" t="inlineStr"/>
      <c r="E21" s="24" t="n"/>
      <c r="F21" s="24" t="n"/>
      <c r="G21" s="24" t="n"/>
      <c r="H21" s="24" t="n"/>
    </row>
    <row r="22">
      <c r="B22" s="21" t="inlineStr">
        <is>
          <t>Average open deal size</t>
        </is>
      </c>
      <c r="C22" s="22">
        <f>IF(C17=0,0,C18/C17)</f>
        <v>130600</v>
      </c>
      <c r="D22" s="23" t="inlineStr"/>
      <c r="E22" s="24" t="n"/>
      <c r="F22" s="24" t="n"/>
      <c r="G22" s="24" t="n"/>
      <c r="H22" s="24" t="n"/>
    </row>
    <row r="23">
      <c r="B23" s="21" t="inlineStr">
        <is>
          <t>Deals flagged on 'Pipeline' (Check column)</t>
        </is>
      </c>
      <c r="C23" s="35">
        <f>SUMPRODUCT(--(LEN(Pipeline!$N$6:$N$65)&gt;0))</f>
        <v>3</v>
      </c>
      <c r="D23" s="23" t="inlineStr">
        <is>
          <t>Fix these first: missing data or out-of-date close dates.</t>
        </is>
      </c>
      <c r="E23" s="24" t="n"/>
      <c r="F23" s="24" t="n"/>
      <c r="G23" s="24" t="n"/>
      <c r="H23" s="24" t="n"/>
    </row>
    <row r="25">
      <c r="B25" s="4" t="inlineStr">
        <is>
          <t>2. Pipeline by stage (all deals in the list)</t>
        </is>
      </c>
      <c r="C25" s="5" t="n"/>
      <c r="D25" s="5" t="n"/>
      <c r="E25" s="5" t="n"/>
      <c r="F25" s="5" t="n"/>
      <c r="G25" s="5" t="n"/>
      <c r="H25" s="5" t="n"/>
    </row>
    <row r="26" ht="30" customHeight="1">
      <c r="B26" s="36" t="inlineStr">
        <is>
          <t>Stage</t>
        </is>
      </c>
      <c r="C26" s="36" t="inlineStr">
        <is>
          <t>Deals</t>
        </is>
      </c>
      <c r="D26" s="36" t="inlineStr">
        <is>
          <t>Value (unweighted)</t>
        </is>
      </c>
      <c r="E26" s="36" t="inlineStr">
        <is>
          <t>Default probability</t>
        </is>
      </c>
      <c r="F26" s="36" t="inlineStr">
        <is>
          <t>Weighted value</t>
        </is>
      </c>
      <c r="G26" s="36" t="inlineStr">
        <is>
          <t>% of weighted open pipeline</t>
        </is>
      </c>
    </row>
    <row r="27">
      <c r="B27" s="21" t="str">
        <f>'Stages &amp; lists'!B6</f>
        <v>Lead</v>
      </c>
      <c r="C27" s="35">
        <f>COUNTIFS(Pipeline!$F$6:$F$65,B27)</f>
        <v>5</v>
      </c>
      <c r="D27" s="22">
        <f>SUMIFS(Pipeline!$G$6:$G$65,Pipeline!$F$6:$F$65,B27)</f>
        <v>881000</v>
      </c>
      <c r="E27" s="27">
        <f>'Stages &amp; lists'!C6</f>
        <v>0.1</v>
      </c>
      <c r="F27" s="22">
        <f>SUMIFS(Pipeline!$J$6:$J$65,Pipeline!$F$6:$F$65,B27)</f>
        <v>88100</v>
      </c>
      <c r="G27" s="27">
        <f>IF($C$19=0,0,F27/$C$19)</f>
        <v>0.101532787829895</v>
      </c>
    </row>
    <row r="28">
      <c r="B28" s="21" t="str">
        <f>'Stages &amp; lists'!B7</f>
        <v>Qualified</v>
      </c>
      <c r="C28" s="35">
        <f>COUNTIFS(Pipeline!$F$6:$F$65,B28)</f>
        <v>5</v>
      </c>
      <c r="D28" s="22">
        <f>SUMIFS(Pipeline!$G$6:$G$65,Pipeline!$F$6:$F$65,B28)</f>
        <v>646000</v>
      </c>
      <c r="E28" s="27">
        <f>'Stages &amp; lists'!C7</f>
        <v>0.25</v>
      </c>
      <c r="F28" s="22">
        <f>SUMIFS(Pipeline!$J$6:$J$65,Pipeline!$F$6:$F$65,B28)</f>
        <v>161500</v>
      </c>
      <c r="G28" s="27">
        <f>IF($C$19=0,0,F28/$C$19)</f>
        <v>0.186124236487265</v>
      </c>
    </row>
    <row r="29">
      <c r="B29" s="21" t="str">
        <f>'Stages &amp; lists'!B8</f>
        <v>Proposal sent</v>
      </c>
      <c r="C29" s="35">
        <f>COUNTIFS(Pipeline!$F$6:$F$65,B29)</f>
        <v>5</v>
      </c>
      <c r="D29" s="22">
        <f>SUMIFS(Pipeline!$G$6:$G$65,Pipeline!$F$6:$F$65,B29)</f>
        <v>625000</v>
      </c>
      <c r="E29" s="27">
        <f>'Stages &amp; lists'!C8</f>
        <v>0.5</v>
      </c>
      <c r="F29" s="22">
        <f>SUMIFS(Pipeline!$J$6:$J$65,Pipeline!$F$6:$F$65,B29)</f>
        <v>276500</v>
      </c>
      <c r="G29" s="27">
        <f>IF($C$19=0,0,F29/$C$19)</f>
        <v>0.318658522530829</v>
      </c>
    </row>
    <row r="30">
      <c r="B30" s="21" t="str">
        <f>'Stages &amp; lists'!B9</f>
        <v>Negotiation</v>
      </c>
      <c r="C30" s="35">
        <f>COUNTIFS(Pipeline!$F$6:$F$65,B30)</f>
        <v>3</v>
      </c>
      <c r="D30" s="22">
        <f>SUMIFS(Pipeline!$G$6:$G$65,Pipeline!$F$6:$F$65,B30)</f>
        <v>362000</v>
      </c>
      <c r="E30" s="27">
        <f>'Stages &amp; lists'!C9</f>
        <v>0.7</v>
      </c>
      <c r="F30" s="22">
        <f>SUMIFS(Pipeline!$J$6:$J$65,Pipeline!$F$6:$F$65,B30)</f>
        <v>253400</v>
      </c>
      <c r="G30" s="27">
        <f>IF($C$19=0,0,F30/$C$19)</f>
        <v>0.292036418116861</v>
      </c>
    </row>
    <row r="31">
      <c r="B31" s="21" t="str">
        <f>'Stages &amp; lists'!B10</f>
        <v>Verbal agreement</v>
      </c>
      <c r="C31" s="35">
        <f>COUNTIFS(Pipeline!$F$6:$F$65,B31)</f>
        <v>2</v>
      </c>
      <c r="D31" s="22">
        <f>SUMIFS(Pipeline!$G$6:$G$65,Pipeline!$F$6:$F$65,B31)</f>
        <v>98000</v>
      </c>
      <c r="E31" s="27">
        <f>'Stages &amp; lists'!C10</f>
        <v>0.9</v>
      </c>
      <c r="F31" s="22">
        <f>SUMIFS(Pipeline!$J$6:$J$65,Pipeline!$F$6:$F$65,B31)</f>
        <v>88200</v>
      </c>
      <c r="G31" s="27">
        <f>IF($C$19=0,0,F31/$C$19)</f>
        <v>0.10164803503515</v>
      </c>
    </row>
    <row r="32">
      <c r="B32" s="21" t="str">
        <f>'Stages &amp; lists'!B11</f>
        <v>Won</v>
      </c>
      <c r="C32" s="35">
        <f>COUNTIFS(Pipeline!$F$6:$F$65,B32)</f>
        <v>2</v>
      </c>
      <c r="D32" s="22">
        <f>SUMIFS(Pipeline!$G$6:$G$65,Pipeline!$F$6:$F$65,B32)</f>
        <v>241000</v>
      </c>
      <c r="E32" s="27">
        <f>'Stages &amp; lists'!C11</f>
        <v>1</v>
      </c>
      <c r="F32" s="22">
        <f>SUMIFS(Pipeline!$J$6:$J$65,Pipeline!$F$6:$F$65,B32)</f>
        <v>241000</v>
      </c>
      <c r="G32" s="24" t="n"/>
    </row>
    <row r="33">
      <c r="B33" s="21" t="str">
        <f>'Stages &amp; lists'!B12</f>
        <v>Lost</v>
      </c>
      <c r="C33" s="35">
        <f>COUNTIFS(Pipeline!$F$6:$F$65,B33)</f>
        <v>2</v>
      </c>
      <c r="D33" s="22">
        <f>SUMIFS(Pipeline!$G$6:$G$65,Pipeline!$F$6:$F$65,B33)</f>
        <v>248000</v>
      </c>
      <c r="E33" s="27">
        <f>'Stages &amp; lists'!C12</f>
        <v>0</v>
      </c>
      <c r="F33" s="22">
        <f>SUMIFS(Pipeline!$J$6:$J$65,Pipeline!$F$6:$F$65,B33)</f>
        <v>0</v>
      </c>
      <c r="G33" s="24" t="n"/>
    </row>
    <row r="34">
      <c r="B34" s="37" t="inlineStr">
        <is>
          <t>Total</t>
        </is>
      </c>
      <c r="C34" s="38">
        <f>SUM(C27:C33)</f>
        <v>24</v>
      </c>
      <c r="D34" s="39">
        <f>SUM(D27:D33)</f>
        <v>3101000</v>
      </c>
      <c r="E34" s="40" t="n"/>
      <c r="F34" s="39">
        <f>SUM(F27:F33)</f>
        <v>1108700</v>
      </c>
      <c r="G34" s="41">
        <f>SUM(G27:G33)</f>
        <v>1</v>
      </c>
    </row>
    <row r="36">
      <c r="B36" s="4" t="inlineStr">
        <is>
          <t>3. By sales owner</t>
        </is>
      </c>
      <c r="C36" s="5" t="n"/>
      <c r="D36" s="5" t="n"/>
      <c r="E36" s="5" t="n"/>
      <c r="F36" s="5" t="n"/>
      <c r="G36" s="5" t="n"/>
      <c r="H36" s="5" t="n"/>
    </row>
    <row r="37" ht="30" customHeight="1">
      <c r="B37" s="36" t="inlineStr">
        <is>
          <t>Owner</t>
        </is>
      </c>
      <c r="C37" s="36" t="inlineStr">
        <is>
          <t>Open deals</t>
        </is>
      </c>
      <c r="D37" s="36" t="inlineStr">
        <is>
          <t>Open value (unweighted)</t>
        </is>
      </c>
      <c r="E37" s="36" t="inlineStr">
        <is>
          <t>Open weighted</t>
        </is>
      </c>
      <c r="F37" s="36" t="inlineStr">
        <is>
          <t>Won value</t>
        </is>
      </c>
      <c r="G37" s="36" t="inlineStr">
        <is>
          <t>Lost value</t>
        </is>
      </c>
      <c r="H37" s="36" t="inlineStr">
        <is>
          <t>Win rate by value</t>
        </is>
      </c>
    </row>
    <row r="38">
      <c r="B38" s="21" t="str">
        <f>IF('Stages &amp; lists'!G6="","",'Stages &amp; lists'!G6)</f>
        <v>Sales rep 1 (Example)</v>
      </c>
      <c r="C38" s="35">
        <f>IF($B38="","",COUNTIFS(Pipeline!$D$6:$D$65,$B38,Pipeline!$M$6:$M$65,"Open"))</f>
        <v>7</v>
      </c>
      <c r="D38" s="22">
        <f>IF($B38="","",SUMIFS(Pipeline!$G$6:$G$65,Pipeline!$D$6:$D$65,$B38,Pipeline!$M$6:$M$65,"Open"))</f>
        <v>800000</v>
      </c>
      <c r="E38" s="22">
        <f>IF($B38="","",SUMIFS(Pipeline!$J$6:$J$65,Pipeline!$D$6:$D$65,$B38,Pipeline!$M$6:$M$65,"Open"))</f>
        <v>315150</v>
      </c>
      <c r="F38" s="22">
        <f>IF($B38="","",SUMIFS(Pipeline!$G$6:$G$65,Pipeline!$D$6:$D$65,$B38,Pipeline!$M$6:$M$65,"Won"))</f>
        <v>96000</v>
      </c>
      <c r="G38" s="22">
        <f>IF($B38="","",SUMIFS(Pipeline!$G$6:$G$65,Pipeline!$D$6:$D$65,$B38,Pipeline!$M$6:$M$65,"Lost"))</f>
        <v>210000</v>
      </c>
      <c r="H38" s="27">
        <f>IF($B38="","",IF(F38+G38=0,0,F38/(F38+G38)))</f>
        <v>0.313725490196078</v>
      </c>
    </row>
    <row r="39">
      <c r="B39" s="21" t="str">
        <f>IF('Stages &amp; lists'!G7="","",'Stages &amp; lists'!G7)</f>
        <v>Sales rep 2 (Example)</v>
      </c>
      <c r="C39" s="35">
        <f>IF($B39="","",COUNTIFS(Pipeline!$D$6:$D$65,$B39,Pipeline!$M$6:$M$65,"Open"))</f>
        <v>7</v>
      </c>
      <c r="D39" s="22">
        <f>IF($B39="","",SUMIFS(Pipeline!$G$6:$G$65,Pipeline!$D$6:$D$65,$B39,Pipeline!$M$6:$M$65,"Open"))</f>
        <v>709000</v>
      </c>
      <c r="E39" s="22">
        <f>IF($B39="","",SUMIFS(Pipeline!$J$6:$J$65,Pipeline!$D$6:$D$65,$B39,Pipeline!$M$6:$M$65,"Open"))</f>
        <v>323300</v>
      </c>
      <c r="F39" s="22">
        <f>IF($B39="","",SUMIFS(Pipeline!$G$6:$G$65,Pipeline!$D$6:$D$65,$B39,Pipeline!$M$6:$M$65,"Won"))</f>
        <v>145000</v>
      </c>
      <c r="G39" s="22">
        <f>IF($B39="","",SUMIFS(Pipeline!$G$6:$G$65,Pipeline!$D$6:$D$65,$B39,Pipeline!$M$6:$M$65,"Lost"))</f>
        <v>0</v>
      </c>
      <c r="H39" s="27">
        <f>IF($B39="","",IF(F39+G39=0,0,F39/(F39+G39)))</f>
        <v>1</v>
      </c>
    </row>
    <row r="40">
      <c r="B40" s="21" t="str">
        <f>IF('Stages &amp; lists'!G8="","",'Stages &amp; lists'!G8)</f>
        <v>Owner / GM (Example)</v>
      </c>
      <c r="C40" s="35">
        <f>IF($B40="","",COUNTIFS(Pipeline!$D$6:$D$65,$B40,Pipeline!$M$6:$M$65,"Open"))</f>
        <v>6</v>
      </c>
      <c r="D40" s="22">
        <f>IF($B40="","",SUMIFS(Pipeline!$G$6:$G$65,Pipeline!$D$6:$D$65,$B40,Pipeline!$M$6:$M$65,"Open"))</f>
        <v>1103000</v>
      </c>
      <c r="E40" s="22">
        <f>IF($B40="","",SUMIFS(Pipeline!$J$6:$J$65,Pipeline!$D$6:$D$65,$B40,Pipeline!$M$6:$M$65,"Open"))</f>
        <v>229250</v>
      </c>
      <c r="F40" s="22">
        <f>IF($B40="","",SUMIFS(Pipeline!$G$6:$G$65,Pipeline!$D$6:$D$65,$B40,Pipeline!$M$6:$M$65,"Won"))</f>
        <v>0</v>
      </c>
      <c r="G40" s="22">
        <f>IF($B40="","",SUMIFS(Pipeline!$G$6:$G$65,Pipeline!$D$6:$D$65,$B40,Pipeline!$M$6:$M$65,"Lost"))</f>
        <v>38000</v>
      </c>
      <c r="H40" s="27">
        <f>IF($B40="","",IF(F40+G40=0,0,F40/(F40+G40)))</f>
        <v>0</v>
      </c>
    </row>
    <row r="41">
      <c r="B41" s="21">
        <f>IF('Stages &amp; lists'!G9="","",'Stages &amp; lists'!G9)</f>
        <v/>
      </c>
      <c r="C41" s="35">
        <f>IF($B41="","",COUNTIFS(Pipeline!$D$6:$D$65,$B41,Pipeline!$M$6:$M$65,"Open"))</f>
        <v/>
      </c>
      <c r="D41" s="22">
        <f>IF($B41="","",SUMIFS(Pipeline!$G$6:$G$65,Pipeline!$D$6:$D$65,$B41,Pipeline!$M$6:$M$65,"Open"))</f>
        <v/>
      </c>
      <c r="E41" s="22">
        <f>IF($B41="","",SUMIFS(Pipeline!$J$6:$J$65,Pipeline!$D$6:$D$65,$B41,Pipeline!$M$6:$M$65,"Open"))</f>
        <v/>
      </c>
      <c r="F41" s="22">
        <f>IF($B41="","",SUMIFS(Pipeline!$G$6:$G$65,Pipeline!$D$6:$D$65,$B41,Pipeline!$M$6:$M$65,"Won"))</f>
        <v/>
      </c>
      <c r="G41" s="22">
        <f>IF($B41="","",SUMIFS(Pipeline!$G$6:$G$65,Pipeline!$D$6:$D$65,$B41,Pipeline!$M$6:$M$65,"Lost"))</f>
        <v/>
      </c>
      <c r="H41" s="27">
        <f>IF($B41="","",IF(F41+G41=0,0,F41/(F41+G41)))</f>
        <v/>
      </c>
    </row>
    <row r="42">
      <c r="B42" s="21">
        <f>IF('Stages &amp; lists'!G10="","",'Stages &amp; lists'!G10)</f>
        <v/>
      </c>
      <c r="C42" s="35">
        <f>IF($B42="","",COUNTIFS(Pipeline!$D$6:$D$65,$B42,Pipeline!$M$6:$M$65,"Open"))</f>
        <v/>
      </c>
      <c r="D42" s="22">
        <f>IF($B42="","",SUMIFS(Pipeline!$G$6:$G$65,Pipeline!$D$6:$D$65,$B42,Pipeline!$M$6:$M$65,"Open"))</f>
        <v/>
      </c>
      <c r="E42" s="22">
        <f>IF($B42="","",SUMIFS(Pipeline!$J$6:$J$65,Pipeline!$D$6:$D$65,$B42,Pipeline!$M$6:$M$65,"Open"))</f>
        <v/>
      </c>
      <c r="F42" s="22">
        <f>IF($B42="","",SUMIFS(Pipeline!$G$6:$G$65,Pipeline!$D$6:$D$65,$B42,Pipeline!$M$6:$M$65,"Won"))</f>
        <v/>
      </c>
      <c r="G42" s="22">
        <f>IF($B42="","",SUMIFS(Pipeline!$G$6:$G$65,Pipeline!$D$6:$D$65,$B42,Pipeline!$M$6:$M$65,"Lost"))</f>
        <v/>
      </c>
      <c r="H42" s="27">
        <f>IF($B42="","",IF(F42+G42=0,0,F42/(F42+G42)))</f>
        <v/>
      </c>
    </row>
    <row r="43">
      <c r="B43" s="21">
        <f>IF('Stages &amp; lists'!G11="","",'Stages &amp; lists'!G11)</f>
        <v/>
      </c>
      <c r="C43" s="35">
        <f>IF($B43="","",COUNTIFS(Pipeline!$D$6:$D$65,$B43,Pipeline!$M$6:$M$65,"Open"))</f>
        <v/>
      </c>
      <c r="D43" s="22">
        <f>IF($B43="","",SUMIFS(Pipeline!$G$6:$G$65,Pipeline!$D$6:$D$65,$B43,Pipeline!$M$6:$M$65,"Open"))</f>
        <v/>
      </c>
      <c r="E43" s="22">
        <f>IF($B43="","",SUMIFS(Pipeline!$J$6:$J$65,Pipeline!$D$6:$D$65,$B43,Pipeline!$M$6:$M$65,"Open"))</f>
        <v/>
      </c>
      <c r="F43" s="22">
        <f>IF($B43="","",SUMIFS(Pipeline!$G$6:$G$65,Pipeline!$D$6:$D$65,$B43,Pipeline!$M$6:$M$65,"Won"))</f>
        <v/>
      </c>
      <c r="G43" s="22">
        <f>IF($B43="","",SUMIFS(Pipeline!$G$6:$G$65,Pipeline!$D$6:$D$65,$B43,Pipeline!$M$6:$M$65,"Lost"))</f>
        <v/>
      </c>
      <c r="H43" s="27">
        <f>IF($B43="","",IF(F43+G43=0,0,F43/(F43+G43)))</f>
        <v/>
      </c>
    </row>
    <row r="44">
      <c r="B44" s="21">
        <f>IF('Stages &amp; lists'!G12="","",'Stages &amp; lists'!G12)</f>
        <v/>
      </c>
      <c r="C44" s="35">
        <f>IF($B44="","",COUNTIFS(Pipeline!$D$6:$D$65,$B44,Pipeline!$M$6:$M$65,"Open"))</f>
        <v/>
      </c>
      <c r="D44" s="22">
        <f>IF($B44="","",SUMIFS(Pipeline!$G$6:$G$65,Pipeline!$D$6:$D$65,$B44,Pipeline!$M$6:$M$65,"Open"))</f>
        <v/>
      </c>
      <c r="E44" s="22">
        <f>IF($B44="","",SUMIFS(Pipeline!$J$6:$J$65,Pipeline!$D$6:$D$65,$B44,Pipeline!$M$6:$M$65,"Open"))</f>
        <v/>
      </c>
      <c r="F44" s="22">
        <f>IF($B44="","",SUMIFS(Pipeline!$G$6:$G$65,Pipeline!$D$6:$D$65,$B44,Pipeline!$M$6:$M$65,"Won"))</f>
        <v/>
      </c>
      <c r="G44" s="22">
        <f>IF($B44="","",SUMIFS(Pipeline!$G$6:$G$65,Pipeline!$D$6:$D$65,$B44,Pipeline!$M$6:$M$65,"Lost"))</f>
        <v/>
      </c>
      <c r="H44" s="27">
        <f>IF($B44="","",IF(F44+G44=0,0,F44/(F44+G44)))</f>
        <v/>
      </c>
    </row>
    <row r="45">
      <c r="B45" s="21">
        <f>IF('Stages &amp; lists'!G13="","",'Stages &amp; lists'!G13)</f>
        <v/>
      </c>
      <c r="C45" s="35">
        <f>IF($B45="","",COUNTIFS(Pipeline!$D$6:$D$65,$B45,Pipeline!$M$6:$M$65,"Open"))</f>
        <v/>
      </c>
      <c r="D45" s="22">
        <f>IF($B45="","",SUMIFS(Pipeline!$G$6:$G$65,Pipeline!$D$6:$D$65,$B45,Pipeline!$M$6:$M$65,"Open"))</f>
        <v/>
      </c>
      <c r="E45" s="22">
        <f>IF($B45="","",SUMIFS(Pipeline!$J$6:$J$65,Pipeline!$D$6:$D$65,$B45,Pipeline!$M$6:$M$65,"Open"))</f>
        <v/>
      </c>
      <c r="F45" s="22">
        <f>IF($B45="","",SUMIFS(Pipeline!$G$6:$G$65,Pipeline!$D$6:$D$65,$B45,Pipeline!$M$6:$M$65,"Won"))</f>
        <v/>
      </c>
      <c r="G45" s="22">
        <f>IF($B45="","",SUMIFS(Pipeline!$G$6:$G$65,Pipeline!$D$6:$D$65,$B45,Pipeline!$M$6:$M$65,"Lost"))</f>
        <v/>
      </c>
      <c r="H45" s="27">
        <f>IF($B45="","",IF(F45+G45=0,0,F45/(F45+G45)))</f>
        <v/>
      </c>
    </row>
    <row r="46">
      <c r="B46" s="21">
        <f>IF('Stages &amp; lists'!G14="","",'Stages &amp; lists'!G14)</f>
        <v/>
      </c>
      <c r="C46" s="35">
        <f>IF($B46="","",COUNTIFS(Pipeline!$D$6:$D$65,$B46,Pipeline!$M$6:$M$65,"Open"))</f>
        <v/>
      </c>
      <c r="D46" s="22">
        <f>IF($B46="","",SUMIFS(Pipeline!$G$6:$G$65,Pipeline!$D$6:$D$65,$B46,Pipeline!$M$6:$M$65,"Open"))</f>
        <v/>
      </c>
      <c r="E46" s="22">
        <f>IF($B46="","",SUMIFS(Pipeline!$J$6:$J$65,Pipeline!$D$6:$D$65,$B46,Pipeline!$M$6:$M$65,"Open"))</f>
        <v/>
      </c>
      <c r="F46" s="22">
        <f>IF($B46="","",SUMIFS(Pipeline!$G$6:$G$65,Pipeline!$D$6:$D$65,$B46,Pipeline!$M$6:$M$65,"Won"))</f>
        <v/>
      </c>
      <c r="G46" s="22">
        <f>IF($B46="","",SUMIFS(Pipeline!$G$6:$G$65,Pipeline!$D$6:$D$65,$B46,Pipeline!$M$6:$M$65,"Lost"))</f>
        <v/>
      </c>
      <c r="H46" s="27">
        <f>IF($B46="","",IF(F46+G46=0,0,F46/(F46+G46)))</f>
        <v/>
      </c>
    </row>
    <row r="47">
      <c r="B47" s="21">
        <f>IF('Stages &amp; lists'!G15="","",'Stages &amp; lists'!G15)</f>
        <v/>
      </c>
      <c r="C47" s="35">
        <f>IF($B47="","",COUNTIFS(Pipeline!$D$6:$D$65,$B47,Pipeline!$M$6:$M$65,"Open"))</f>
        <v/>
      </c>
      <c r="D47" s="22">
        <f>IF($B47="","",SUMIFS(Pipeline!$G$6:$G$65,Pipeline!$D$6:$D$65,$B47,Pipeline!$M$6:$M$65,"Open"))</f>
        <v/>
      </c>
      <c r="E47" s="22">
        <f>IF($B47="","",SUMIFS(Pipeline!$J$6:$J$65,Pipeline!$D$6:$D$65,$B47,Pipeline!$M$6:$M$65,"Open"))</f>
        <v/>
      </c>
      <c r="F47" s="22">
        <f>IF($B47="","",SUMIFS(Pipeline!$G$6:$G$65,Pipeline!$D$6:$D$65,$B47,Pipeline!$M$6:$M$65,"Won"))</f>
        <v/>
      </c>
      <c r="G47" s="22">
        <f>IF($B47="","",SUMIFS(Pipeline!$G$6:$G$65,Pipeline!$D$6:$D$65,$B47,Pipeline!$M$6:$M$65,"Lost"))</f>
        <v/>
      </c>
      <c r="H47" s="27">
        <f>IF($B47="","",IF(F47+G47=0,0,F47/(F47+G47)))</f>
        <v/>
      </c>
    </row>
    <row r="49">
      <c r="B49" s="16" t="inlineStr">
        <is>
          <t>Owner table lists the names on 'Stages &amp; lists'. Deals with an owner not on that list are not shown here.</t>
        </is>
      </c>
    </row>
    <row r="50">
      <c r="B50" s="16" t="inlineStr">
        <is>
          <t>Illustrative tool for decision support, not financial advice. Example figures are made up.</t>
        </is>
      </c>
    </row>
    <row r="51">
      <c r="B51" s="17" t="inlineStr">
        <is>
          <t>axcellservice.com · Free template · Book a free 30-minute consultation: axcellservice.com/contact</t>
        </is>
      </c>
    </row>
  </sheetData>
  <mergeCells count="2">
    <mergeCell ref="B4:H4"/>
    <mergeCell ref="C16:H16"/>
  </mergeCells>
  <conditionalFormatting sqref="C16">
    <cfRule type="expression" priority="1" dxfId="0">
      <formula>LEFT(C16,2)="On"</formula>
    </cfRule>
    <cfRule type="expression" priority="2" dxfId="1">
      <formula>LEFT(C16,2)&lt;&gt;"On"</formula>
    </cfRule>
  </conditionalFormatting>
  <conditionalFormatting sqref="C10">
    <cfRule type="cellIs" priority="3" operator="lessThan" dxfId="2">
      <formula>0</formula>
    </cfRule>
  </conditionalFormatting>
  <conditionalFormatting sqref="C23">
    <cfRule type="cellIs" priority="4" operator="greaterThan" dxfId="2">
      <formula>0</formula>
    </cfRule>
  </conditionalFormatting>
  <printOptions horizontalCentered="1"/>
  <pageMargins left="0.4" right="0.4" top="1" bottom="1" header="0.5" footer="0.5"/>
  <pageSetup orientation="portrait" paperSize="9" fitToHeight="0" fitToWidth="1"/>
  <headerFooter>
    <oddHeader/>
    <oddFooter>&amp;L&amp;8 Axcell Financial Consulting · axcellservice.com · Free template&amp;R&amp;8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O6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8" customWidth="1" min="2" max="2"/>
    <col width="28" customWidth="1" min="3" max="3"/>
    <col width="20" customWidth="1" min="4" max="4"/>
    <col width="17" customWidth="1" min="5" max="5"/>
    <col width="16" customWidth="1" min="6" max="6"/>
    <col width="13" customWidth="1" min="7" max="7"/>
    <col width="12" customWidth="1" min="8" max="8"/>
    <col width="11" customWidth="1" min="9" max="9"/>
    <col width="13" customWidth="1" min="10" max="10"/>
    <col width="13" customWidth="1" min="11" max="11"/>
    <col width="10" customWidth="1" min="12" max="12"/>
    <col width="8" customWidth="1" min="13" max="13"/>
    <col width="24" customWidth="1" min="14" max="14"/>
    <col width="32" customWidth="1" min="15" max="15"/>
  </cols>
  <sheetData>
    <row r="1" ht="26" customHeight="1">
      <c r="B1" s="18" t="inlineStr">
        <is>
          <t>Pipeline: one row per deal</t>
        </is>
      </c>
    </row>
    <row r="2">
      <c r="B2" s="19" t="inlineStr">
        <is>
          <t>Axcell Financial Consulting · Sales Pipeline &amp; Weighted Forecast</t>
        </is>
      </c>
    </row>
    <row r="3">
      <c r="B3" s="16" t="str">
        <f>"Amounts in "&amp;'Start here'!$C$21&amp;". Deal value = expected revenue if won (excl. VAT). Example deals shown."</f>
        <v>Amounts in Your currency. Deal value = expected revenue if won (excl. VAT). Example deals shown.</v>
      </c>
    </row>
    <row r="4">
      <c r="B4" s="37" t="inlineStr">
        <is>
          <t>Totals (all rows, incl. won and lost)</t>
        </is>
      </c>
      <c r="C4" s="40" t="n"/>
      <c r="D4" s="40" t="n"/>
      <c r="E4" s="40" t="n"/>
      <c r="F4" s="40" t="n"/>
      <c r="G4" s="39">
        <f>SUM(G6:G65)</f>
        <v>3101000</v>
      </c>
      <c r="H4" s="40" t="n"/>
      <c r="I4" s="40" t="n"/>
      <c r="J4" s="39">
        <f>SUM(J6:J65)</f>
        <v>1108700</v>
      </c>
      <c r="K4" s="40" t="n"/>
      <c r="L4" s="40" t="n"/>
      <c r="M4" s="40" t="n"/>
      <c r="N4" s="42" t="str">
        <f>SUMPRODUCT(--(LEN(N6:N65)&gt;0))&amp;" to check"</f>
        <v>3 to check</v>
      </c>
      <c r="O4" s="40" t="n"/>
    </row>
    <row r="5" ht="32" customHeight="1">
      <c r="B5" s="36" t="inlineStr">
        <is>
          <t>Deal / opportunity</t>
        </is>
      </c>
      <c r="C5" s="36" t="inlineStr">
        <is>
          <t>Customer / prospect</t>
        </is>
      </c>
      <c r="D5" s="36" t="inlineStr">
        <is>
          <t>Owner</t>
        </is>
      </c>
      <c r="E5" s="36" t="inlineStr">
        <is>
          <t>Lead source</t>
        </is>
      </c>
      <c r="F5" s="36" t="inlineStr">
        <is>
          <t>Stage</t>
        </is>
      </c>
      <c r="G5" s="36" t="inlineStr">
        <is>
          <t>Deal value</t>
        </is>
      </c>
      <c r="H5" s="36" t="inlineStr">
        <is>
          <t>Probability override</t>
        </is>
      </c>
      <c r="I5" s="36" t="inlineStr">
        <is>
          <t>Probability used</t>
        </is>
      </c>
      <c r="J5" s="36" t="inlineStr">
        <is>
          <t>Weighted value</t>
        </is>
      </c>
      <c r="K5" s="36" t="inlineStr">
        <is>
          <t>Expected close date</t>
        </is>
      </c>
      <c r="L5" s="36" t="inlineStr">
        <is>
          <t>Close month</t>
        </is>
      </c>
      <c r="M5" s="36" t="inlineStr">
        <is>
          <t>Status</t>
        </is>
      </c>
      <c r="N5" s="36" t="inlineStr">
        <is>
          <t>Check</t>
        </is>
      </c>
      <c r="O5" s="36" t="inlineStr">
        <is>
          <t>Next step</t>
        </is>
      </c>
    </row>
    <row r="6">
      <c r="B6" s="43" t="inlineStr">
        <is>
          <t>Annual maintenance contract</t>
        </is>
      </c>
      <c r="C6" s="43" t="inlineStr">
        <is>
          <t>Logistics Co. (Example)</t>
        </is>
      </c>
      <c r="D6" s="43" t="inlineStr">
        <is>
          <t>Sales rep 1 (Example)</t>
        </is>
      </c>
      <c r="E6" s="43" t="inlineStr">
        <is>
          <t>Existing customer</t>
        </is>
      </c>
      <c r="F6" s="43" t="inlineStr">
        <is>
          <t>Won</t>
        </is>
      </c>
      <c r="G6" s="44" t="n">
        <v>96000</v>
      </c>
      <c r="H6" s="45" t="n"/>
      <c r="I6" s="27">
        <f>IF(F6="","",IF(M6="Won",1,IF(M6="Lost",0,IF(ISNUMBER(H6),H6,IFERROR(VLOOKUP(F6,'Stages &amp; lists'!$B$6:$D$12,2,FALSE),0)))))</f>
        <v>1</v>
      </c>
      <c r="J6" s="22">
        <f>IF(OR(G6="",I6=""),"",G6*I6)</f>
        <v>96000</v>
      </c>
      <c r="K6" s="46" t="n">
        <v>46315</v>
      </c>
      <c r="L6" s="47">
        <f>IF(ISNUMBER(K6),DATE(YEAR(K6),MONTH(K6),1),"")</f>
        <v>46296.0</v>
      </c>
      <c r="M6" s="48" t="str">
        <f>IF(F6="","",IFERROR(VLOOKUP(F6,'Stages &amp; lists'!$B$6:$D$12,3,FALSE),"?"))</f>
        <v>Won</v>
      </c>
      <c r="N6" s="49">
        <f>IF(AND(B6="",C6="",G6=""),"",IF(F6="","Pick a stage",IF(M6="?","Unknown stage",IF(N(G6)=0,"Add value",IF(M6&lt;&gt;"Open","",IF(NOT(ISNUMBER(K6)),"Add close date",IF(K6&lt;'Start here'!$C$22,"Date passed: update",IF(L6&gt;EDATE('Start here'!$C$22,11),"Beyond 12 months",""))))))))</f>
        <v/>
      </c>
      <c r="O6" s="43" t="inlineStr">
        <is>
          <t>Kick-off meeting booked</t>
        </is>
      </c>
    </row>
    <row r="7">
      <c r="B7" s="43" t="inlineStr">
        <is>
          <t>Office fit-out phase 1</t>
        </is>
      </c>
      <c r="C7" s="43" t="inlineStr">
        <is>
          <t>Clinic Group (Example)</t>
        </is>
      </c>
      <c r="D7" s="43" t="inlineStr">
        <is>
          <t>Sales rep 2 (Example)</t>
        </is>
      </c>
      <c r="E7" s="43" t="inlineStr">
        <is>
          <t>Referral</t>
        </is>
      </c>
      <c r="F7" s="43" t="inlineStr">
        <is>
          <t>Won</t>
        </is>
      </c>
      <c r="G7" s="44" t="n">
        <v>145000</v>
      </c>
      <c r="H7" s="45" t="n"/>
      <c r="I7" s="27">
        <f>IF(F7="","",IF(M7="Won",1,IF(M7="Lost",0,IF(ISNUMBER(H7),H7,IFERROR(VLOOKUP(F7,'Stages &amp; lists'!$B$6:$D$12,2,FALSE),0)))))</f>
        <v>1</v>
      </c>
      <c r="J7" s="22">
        <f>IF(OR(G7="",I7=""),"",G7*I7)</f>
        <v>145000</v>
      </c>
      <c r="K7" s="46" t="n">
        <v>46331</v>
      </c>
      <c r="L7" s="47">
        <f>IF(ISNUMBER(K7),DATE(YEAR(K7),MONTH(K7),1),"")</f>
        <v>46327.0</v>
      </c>
      <c r="M7" s="48" t="str">
        <f>IF(F7="","",IFERROR(VLOOKUP(F7,'Stages &amp; lists'!$B$6:$D$12,3,FALSE),"?"))</f>
        <v>Won</v>
      </c>
      <c r="N7" s="49">
        <f>IF(AND(B7="",C7="",G7=""),"",IF(F7="","Pick a stage",IF(M7="?","Unknown stage",IF(N(G7)=0,"Add value",IF(M7&lt;&gt;"Open","",IF(NOT(ISNUMBER(K7)),"Add close date",IF(K7&lt;'Start here'!$C$22,"Date passed: update",IF(L7&gt;EDATE('Start here'!$C$22,11),"Beyond 12 months",""))))))))</f>
        <v/>
      </c>
      <c r="O7" s="43" t="inlineStr">
        <is>
          <t>Deposit invoice sent</t>
        </is>
      </c>
    </row>
    <row r="8">
      <c r="B8" s="43" t="inlineStr">
        <is>
          <t>Equipment supply</t>
        </is>
      </c>
      <c r="C8" s="43" t="inlineStr">
        <is>
          <t>Factory A (Example)</t>
        </is>
      </c>
      <c r="D8" s="43" t="inlineStr">
        <is>
          <t>Sales rep 1 (Example)</t>
        </is>
      </c>
      <c r="E8" s="43" t="inlineStr">
        <is>
          <t>Tender</t>
        </is>
      </c>
      <c r="F8" s="43" t="inlineStr">
        <is>
          <t>Lost</t>
        </is>
      </c>
      <c r="G8" s="44" t="n">
        <v>210000</v>
      </c>
      <c r="H8" s="45" t="n"/>
      <c r="I8" s="27">
        <f>IF(F8="","",IF(M8="Won",1,IF(M8="Lost",0,IF(ISNUMBER(H8),H8,IFERROR(VLOOKUP(F8,'Stages &amp; lists'!$B$6:$D$12,2,FALSE),0)))))</f>
        <v>0</v>
      </c>
      <c r="J8" s="22">
        <f>IF(OR(G8="",I8=""),"",G8*I8)</f>
        <v>0</v>
      </c>
      <c r="K8" s="46" t="n">
        <v>46305</v>
      </c>
      <c r="L8" s="47">
        <f>IF(ISNUMBER(K8),DATE(YEAR(K8),MONTH(K8),1),"")</f>
        <v>46296.0</v>
      </c>
      <c r="M8" s="48" t="str">
        <f>IF(F8="","",IFERROR(VLOOKUP(F8,'Stages &amp; lists'!$B$6:$D$12,3,FALSE),"?"))</f>
        <v>Lost</v>
      </c>
      <c r="N8" s="49">
        <f>IF(AND(B8="",C8="",G8=""),"",IF(F8="","Pick a stage",IF(M8="?","Unknown stage",IF(N(G8)=0,"Add value",IF(M8&lt;&gt;"Open","",IF(NOT(ISNUMBER(K8)),"Add close date",IF(K8&lt;'Start here'!$C$22,"Date passed: update",IF(L8&gt;EDATE('Start here'!$C$22,11),"Beyond 12 months",""))))))))</f>
        <v/>
      </c>
      <c r="O8" s="43" t="inlineStr">
        <is>
          <t>Lost on price: ask for feedback</t>
        </is>
      </c>
    </row>
    <row r="9">
      <c r="B9" s="43" t="inlineStr">
        <is>
          <t>Training programme</t>
        </is>
      </c>
      <c r="C9" s="43" t="inlineStr">
        <is>
          <t>Bank Branch Network (Example)</t>
        </is>
      </c>
      <c r="D9" s="43" t="inlineStr">
        <is>
          <t>Owner / GM (Example)</t>
        </is>
      </c>
      <c r="E9" s="43" t="inlineStr">
        <is>
          <t>Partner</t>
        </is>
      </c>
      <c r="F9" s="43" t="inlineStr">
        <is>
          <t>Lost</t>
        </is>
      </c>
      <c r="G9" s="44" t="n">
        <v>38000</v>
      </c>
      <c r="H9" s="45" t="n"/>
      <c r="I9" s="27">
        <f>IF(F9="","",IF(M9="Won",1,IF(M9="Lost",0,IF(ISNUMBER(H9),H9,IFERROR(VLOOKUP(F9,'Stages &amp; lists'!$B$6:$D$12,2,FALSE),0)))))</f>
        <v>0</v>
      </c>
      <c r="J9" s="22">
        <f>IF(OR(G9="",I9=""),"",G9*I9)</f>
        <v>0</v>
      </c>
      <c r="K9" s="46" t="n">
        <v>46290</v>
      </c>
      <c r="L9" s="47">
        <f>IF(ISNUMBER(K9),DATE(YEAR(K9),MONTH(K9),1),"")</f>
        <v>46266.0</v>
      </c>
      <c r="M9" s="48" t="str">
        <f>IF(F9="","",IFERROR(VLOOKUP(F9,'Stages &amp; lists'!$B$6:$D$12,3,FALSE),"?"))</f>
        <v>Lost</v>
      </c>
      <c r="N9" s="49">
        <f>IF(AND(B9="",C9="",G9=""),"",IF(F9="","Pick a stage",IF(M9="?","Unknown stage",IF(N(G9)=0,"Add value",IF(M9&lt;&gt;"Open","",IF(NOT(ISNUMBER(K9)),"Add close date",IF(K9&lt;'Start here'!$C$22,"Date passed: update",IF(L9&gt;EDATE('Start here'!$C$22,11),"Beyond 12 months",""))))))))</f>
        <v/>
      </c>
      <c r="O9" s="43" t="inlineStr"/>
    </row>
    <row r="10">
      <c r="B10" s="43" t="inlineStr">
        <is>
          <t>Service renewal</t>
        </is>
      </c>
      <c r="C10" s="43" t="inlineStr">
        <is>
          <t>Hotel B (Example)</t>
        </is>
      </c>
      <c r="D10" s="43" t="inlineStr">
        <is>
          <t>Sales rep 2 (Example)</t>
        </is>
      </c>
      <c r="E10" s="43" t="inlineStr">
        <is>
          <t>Existing customer</t>
        </is>
      </c>
      <c r="F10" s="43" t="inlineStr">
        <is>
          <t>Verbal agreement</t>
        </is>
      </c>
      <c r="G10" s="44" t="n">
        <v>64000</v>
      </c>
      <c r="H10" s="45" t="n"/>
      <c r="I10" s="27">
        <f>IF(F10="","",IF(M10="Won",1,IF(M10="Lost",0,IF(ISNUMBER(H10),H10,IFERROR(VLOOKUP(F10,'Stages &amp; lists'!$B$6:$D$12,2,FALSE),0)))))</f>
        <v>0.9</v>
      </c>
      <c r="J10" s="22">
        <f>IF(OR(G10="",I10=""),"",G10*I10)</f>
        <v>57600</v>
      </c>
      <c r="K10" s="46" t="n">
        <v>46346</v>
      </c>
      <c r="L10" s="47">
        <f>IF(ISNUMBER(K10),DATE(YEAR(K10),MONTH(K10),1),"")</f>
        <v>46327.0</v>
      </c>
      <c r="M10" s="48" t="str">
        <f>IF(F10="","",IFERROR(VLOOKUP(F10,'Stages &amp; lists'!$B$6:$D$12,3,FALSE),"?"))</f>
        <v>Open</v>
      </c>
      <c r="N10" s="49">
        <f>IF(AND(B10="",C10="",G10=""),"",IF(F10="","Pick a stage",IF(M10="?","Unknown stage",IF(N(G10)=0,"Add value",IF(M10&lt;&gt;"Open","",IF(NOT(ISNUMBER(K10)),"Add close date",IF(K10&lt;'Start here'!$C$22,"Date passed: update",IF(L10&gt;EDATE('Start here'!$C$22,11),"Beyond 12 months",""))))))))</f>
        <v/>
      </c>
      <c r="O10" s="43" t="inlineStr">
        <is>
          <t>Chase signed PO</t>
        </is>
      </c>
    </row>
    <row r="11">
      <c r="B11" s="43" t="inlineStr">
        <is>
          <t>Fit-out phase 2</t>
        </is>
      </c>
      <c r="C11" s="43" t="inlineStr">
        <is>
          <t>Clinic Group (Example)</t>
        </is>
      </c>
      <c r="D11" s="43" t="inlineStr">
        <is>
          <t>Sales rep 2 (Example)</t>
        </is>
      </c>
      <c r="E11" s="43" t="inlineStr">
        <is>
          <t>Existing customer</t>
        </is>
      </c>
      <c r="F11" s="43" t="inlineStr">
        <is>
          <t>Negotiation</t>
        </is>
      </c>
      <c r="G11" s="44" t="n">
        <v>180000</v>
      </c>
      <c r="H11" s="45" t="n"/>
      <c r="I11" s="27">
        <f>IF(F11="","",IF(M11="Won",1,IF(M11="Lost",0,IF(ISNUMBER(H11),H11,IFERROR(VLOOKUP(F11,'Stages &amp; lists'!$B$6:$D$12,2,FALSE),0)))))</f>
        <v>0.7</v>
      </c>
      <c r="J11" s="22">
        <f>IF(OR(G11="",I11=""),"",G11*I11)</f>
        <v>126000</v>
      </c>
      <c r="K11" s="46" t="n">
        <v>46371</v>
      </c>
      <c r="L11" s="47">
        <f>IF(ISNUMBER(K11),DATE(YEAR(K11),MONTH(K11),1),"")</f>
        <v>46357.0</v>
      </c>
      <c r="M11" s="48" t="str">
        <f>IF(F11="","",IFERROR(VLOOKUP(F11,'Stages &amp; lists'!$B$6:$D$12,3,FALSE),"?"))</f>
        <v>Open</v>
      </c>
      <c r="N11" s="49">
        <f>IF(AND(B11="",C11="",G11=""),"",IF(F11="","Pick a stage",IF(M11="?","Unknown stage",IF(N(G11)=0,"Add value",IF(M11&lt;&gt;"Open","",IF(NOT(ISNUMBER(K11)),"Add close date",IF(K11&lt;'Start here'!$C$22,"Date passed: update",IF(L11&gt;EDATE('Start here'!$C$22,11),"Beyond 12 months",""))))))))</f>
        <v/>
      </c>
      <c r="O11" s="43" t="inlineStr">
        <is>
          <t>Revised quote by Friday</t>
        </is>
      </c>
    </row>
    <row r="12">
      <c r="B12" s="43" t="inlineStr">
        <is>
          <t>Cold-room installation</t>
        </is>
      </c>
      <c r="C12" s="43" t="inlineStr">
        <is>
          <t>Food Distributor (Example)</t>
        </is>
      </c>
      <c r="D12" s="43" t="inlineStr">
        <is>
          <t>Sales rep 1 (Example)</t>
        </is>
      </c>
      <c r="E12" s="43" t="inlineStr">
        <is>
          <t>Website / inbound</t>
        </is>
      </c>
      <c r="F12" s="43" t="inlineStr">
        <is>
          <t>Proposal sent</t>
        </is>
      </c>
      <c r="G12" s="44" t="n">
        <v>125000</v>
      </c>
      <c r="H12" s="45" t="n"/>
      <c r="I12" s="27">
        <f>IF(F12="","",IF(M12="Won",1,IF(M12="Lost",0,IF(ISNUMBER(H12),H12,IFERROR(VLOOKUP(F12,'Stages &amp; lists'!$B$6:$D$12,2,FALSE),0)))))</f>
        <v>0.5</v>
      </c>
      <c r="J12" s="22">
        <f>IF(OR(G12="",I12=""),"",G12*I12)</f>
        <v>62500</v>
      </c>
      <c r="K12" s="46" t="n">
        <v>46366</v>
      </c>
      <c r="L12" s="47">
        <f>IF(ISNUMBER(K12),DATE(YEAR(K12),MONTH(K12),1),"")</f>
        <v>46357.0</v>
      </c>
      <c r="M12" s="48" t="str">
        <f>IF(F12="","",IFERROR(VLOOKUP(F12,'Stages &amp; lists'!$B$6:$D$12,3,FALSE),"?"))</f>
        <v>Open</v>
      </c>
      <c r="N12" s="49">
        <f>IF(AND(B12="",C12="",G12=""),"",IF(F12="","Pick a stage",IF(M12="?","Unknown stage",IF(N(G12)=0,"Add value",IF(M12&lt;&gt;"Open","",IF(NOT(ISNUMBER(K12)),"Add close date",IF(K12&lt;'Start here'!$C$22,"Date passed: update",IF(L12&gt;EDATE('Start here'!$C$22,11),"Beyond 12 months",""))))))))</f>
        <v/>
      </c>
      <c r="O12" s="43" t="inlineStr">
        <is>
          <t>Site visit with engineer</t>
        </is>
      </c>
    </row>
    <row r="13">
      <c r="B13" s="43" t="inlineStr">
        <is>
          <t>Security systems upgrade</t>
        </is>
      </c>
      <c r="C13" s="43" t="inlineStr">
        <is>
          <t>School Group (Example)</t>
        </is>
      </c>
      <c r="D13" s="43" t="inlineStr">
        <is>
          <t>Owner / GM (Example)</t>
        </is>
      </c>
      <c r="E13" s="43" t="inlineStr">
        <is>
          <t>Referral</t>
        </is>
      </c>
      <c r="F13" s="43" t="inlineStr">
        <is>
          <t>Qualified</t>
        </is>
      </c>
      <c r="G13" s="44" t="n">
        <v>88000</v>
      </c>
      <c r="H13" s="45" t="n"/>
      <c r="I13" s="27">
        <f>IF(F13="","",IF(M13="Won",1,IF(M13="Lost",0,IF(ISNUMBER(H13),H13,IFERROR(VLOOKUP(F13,'Stages &amp; lists'!$B$6:$D$12,2,FALSE),0)))))</f>
        <v>0.25</v>
      </c>
      <c r="J13" s="22">
        <f>IF(OR(G13="",I13=""),"",G13*I13)</f>
        <v>22000</v>
      </c>
      <c r="K13" s="46" t="n">
        <v>46407</v>
      </c>
      <c r="L13" s="47">
        <f>IF(ISNUMBER(K13),DATE(YEAR(K13),MONTH(K13),1),"")</f>
        <v>46388.0</v>
      </c>
      <c r="M13" s="48" t="str">
        <f>IF(F13="","",IFERROR(VLOOKUP(F13,'Stages &amp; lists'!$B$6:$D$12,3,FALSE),"?"))</f>
        <v>Open</v>
      </c>
      <c r="N13" s="49">
        <f>IF(AND(B13="",C13="",G13=""),"",IF(F13="","Pick a stage",IF(M13="?","Unknown stage",IF(N(G13)=0,"Add value",IF(M13&lt;&gt;"Open","",IF(NOT(ISNUMBER(K13)),"Add close date",IF(K13&lt;'Start here'!$C$22,"Date passed: update",IF(L13&gt;EDATE('Start here'!$C$22,11),"Beyond 12 months",""))))))))</f>
        <v/>
      </c>
      <c r="O13" s="43" t="inlineStr">
        <is>
          <t>Prepare proposal</t>
        </is>
      </c>
    </row>
    <row r="14">
      <c r="B14" s="43" t="inlineStr">
        <is>
          <t>Retail outlets rollout</t>
        </is>
      </c>
      <c r="C14" s="43" t="inlineStr">
        <is>
          <t>Retail Chain (Example)</t>
        </is>
      </c>
      <c r="D14" s="43" t="inlineStr">
        <is>
          <t>Sales rep 1 (Example)</t>
        </is>
      </c>
      <c r="E14" s="43" t="inlineStr">
        <is>
          <t>Event / exhibition</t>
        </is>
      </c>
      <c r="F14" s="43" t="inlineStr">
        <is>
          <t>Proposal sent</t>
        </is>
      </c>
      <c r="G14" s="44" t="n">
        <v>240000</v>
      </c>
      <c r="H14" s="45" t="n">
        <v>0.35</v>
      </c>
      <c r="I14" s="27">
        <f>IF(F14="","",IF(M14="Won",1,IF(M14="Lost",0,IF(ISNUMBER(H14),H14,IFERROR(VLOOKUP(F14,'Stages &amp; lists'!$B$6:$D$12,2,FALSE),0)))))</f>
        <v>0.35</v>
      </c>
      <c r="J14" s="22">
        <f>IF(OR(G14="",I14=""),"",G14*I14)</f>
        <v>84000</v>
      </c>
      <c r="K14" s="46" t="n">
        <v>46433</v>
      </c>
      <c r="L14" s="47">
        <f>IF(ISNUMBER(K14),DATE(YEAR(K14),MONTH(K14),1),"")</f>
        <v>46419.0</v>
      </c>
      <c r="M14" s="48" t="str">
        <f>IF(F14="","",IFERROR(VLOOKUP(F14,'Stages &amp; lists'!$B$6:$D$12,3,FALSE),"?"))</f>
        <v>Open</v>
      </c>
      <c r="N14" s="49">
        <f>IF(AND(B14="",C14="",G14=""),"",IF(F14="","Pick a stage",IF(M14="?","Unknown stage",IF(N(G14)=0,"Add value",IF(M14&lt;&gt;"Open","",IF(NOT(ISNUMBER(K14)),"Add close date",IF(K14&lt;'Start here'!$C$22,"Date passed: update",IF(L14&gt;EDATE('Start here'!$C$22,11),"Beyond 12 months",""))))))))</f>
        <v/>
      </c>
      <c r="O14" s="43" t="inlineStr">
        <is>
          <t>Board decision expected Feb</t>
        </is>
      </c>
    </row>
    <row r="15">
      <c r="B15" s="43" t="inlineStr">
        <is>
          <t>Warehouse racking</t>
        </is>
      </c>
      <c r="C15" s="43" t="inlineStr">
        <is>
          <t>Logistics Co. (Example)</t>
        </is>
      </c>
      <c r="D15" s="43" t="inlineStr">
        <is>
          <t>Sales rep 1 (Example)</t>
        </is>
      </c>
      <c r="E15" s="43" t="inlineStr">
        <is>
          <t>Existing customer</t>
        </is>
      </c>
      <c r="F15" s="43" t="inlineStr">
        <is>
          <t>Negotiation</t>
        </is>
      </c>
      <c r="G15" s="44" t="n">
        <v>72000</v>
      </c>
      <c r="H15" s="45" t="n"/>
      <c r="I15" s="27">
        <f>IF(F15="","",IF(M15="Won",1,IF(M15="Lost",0,IF(ISNUMBER(H15),H15,IFERROR(VLOOKUP(F15,'Stages &amp; lists'!$B$6:$D$12,2,FALSE),0)))))</f>
        <v>0.7</v>
      </c>
      <c r="J15" s="22">
        <f>IF(OR(G15="",I15=""),"",G15*I15)</f>
        <v>50400</v>
      </c>
      <c r="K15" s="46" t="n">
        <v>46397</v>
      </c>
      <c r="L15" s="47">
        <f>IF(ISNUMBER(K15),DATE(YEAR(K15),MONTH(K15),1),"")</f>
        <v>46388.0</v>
      </c>
      <c r="M15" s="48" t="str">
        <f>IF(F15="","",IFERROR(VLOOKUP(F15,'Stages &amp; lists'!$B$6:$D$12,3,FALSE),"?"))</f>
        <v>Open</v>
      </c>
      <c r="N15" s="49">
        <f>IF(AND(B15="",C15="",G15=""),"",IF(F15="","Pick a stage",IF(M15="?","Unknown stage",IF(N(G15)=0,"Add value",IF(M15&lt;&gt;"Open","",IF(NOT(ISNUMBER(K15)),"Add close date",IF(K15&lt;'Start here'!$C$22,"Date passed: update",IF(L15&gt;EDATE('Start here'!$C$22,11),"Beyond 12 months",""))))))))</f>
        <v/>
      </c>
      <c r="O15" s="43" t="inlineStr">
        <is>
          <t>Agree payment terms</t>
        </is>
      </c>
    </row>
    <row r="16">
      <c r="B16" s="43" t="inlineStr">
        <is>
          <t>Kitchen equipment</t>
        </is>
      </c>
      <c r="C16" s="43" t="inlineStr">
        <is>
          <t>Restaurant Group (Example)</t>
        </is>
      </c>
      <c r="D16" s="43" t="inlineStr">
        <is>
          <t>Sales rep 2 (Example)</t>
        </is>
      </c>
      <c r="E16" s="43" t="inlineStr">
        <is>
          <t>Cold outreach</t>
        </is>
      </c>
      <c r="F16" s="43" t="inlineStr">
        <is>
          <t>Lead</t>
        </is>
      </c>
      <c r="G16" s="44" t="n">
        <v>55000</v>
      </c>
      <c r="H16" s="45" t="n"/>
      <c r="I16" s="27">
        <f>IF(F16="","",IF(M16="Won",1,IF(M16="Lost",0,IF(ISNUMBER(H16),H16,IFERROR(VLOOKUP(F16,'Stages &amp; lists'!$B$6:$D$12,2,FALSE),0)))))</f>
        <v>0.1</v>
      </c>
      <c r="J16" s="22">
        <f>IF(OR(G16="",I16=""),"",G16*I16)</f>
        <v>5500</v>
      </c>
      <c r="K16" s="46" t="n">
        <v>46451</v>
      </c>
      <c r="L16" s="47">
        <f>IF(ISNUMBER(K16),DATE(YEAR(K16),MONTH(K16),1),"")</f>
        <v>46447.0</v>
      </c>
      <c r="M16" s="48" t="str">
        <f>IF(F16="","",IFERROR(VLOOKUP(F16,'Stages &amp; lists'!$B$6:$D$12,3,FALSE),"?"))</f>
        <v>Open</v>
      </c>
      <c r="N16" s="49">
        <f>IF(AND(B16="",C16="",G16=""),"",IF(F16="","Pick a stage",IF(M16="?","Unknown stage",IF(N(G16)=0,"Add value",IF(M16&lt;&gt;"Open","",IF(NOT(ISNUMBER(K16)),"Add close date",IF(K16&lt;'Start here'!$C$22,"Date passed: update",IF(L16&gt;EDATE('Start here'!$C$22,11),"Beyond 12 months",""))))))))</f>
        <v/>
      </c>
      <c r="O16" s="43" t="inlineStr">
        <is>
          <t>Discovery call</t>
        </is>
      </c>
    </row>
    <row r="17">
      <c r="B17" s="43" t="inlineStr">
        <is>
          <t>HVAC maintenance</t>
        </is>
      </c>
      <c r="C17" s="43" t="inlineStr">
        <is>
          <t>Mall Operator (Example)</t>
        </is>
      </c>
      <c r="D17" s="43" t="inlineStr">
        <is>
          <t>Owner / GM (Example)</t>
        </is>
      </c>
      <c r="E17" s="43" t="inlineStr">
        <is>
          <t>Tender</t>
        </is>
      </c>
      <c r="F17" s="43" t="inlineStr">
        <is>
          <t>Proposal sent</t>
        </is>
      </c>
      <c r="G17" s="44" t="n">
        <v>150000</v>
      </c>
      <c r="H17" s="45" t="n"/>
      <c r="I17" s="27">
        <f>IF(F17="","",IF(M17="Won",1,IF(M17="Lost",0,IF(ISNUMBER(H17),H17,IFERROR(VLOOKUP(F17,'Stages &amp; lists'!$B$6:$D$12,2,FALSE),0)))))</f>
        <v>0.5</v>
      </c>
      <c r="J17" s="22">
        <f>IF(OR(G17="",I17=""),"",G17*I17)</f>
        <v>75000</v>
      </c>
      <c r="K17" s="46" t="n">
        <v>46476</v>
      </c>
      <c r="L17" s="47">
        <f>IF(ISNUMBER(K17),DATE(YEAR(K17),MONTH(K17),1),"")</f>
        <v>46447.0</v>
      </c>
      <c r="M17" s="48" t="str">
        <f>IF(F17="","",IFERROR(VLOOKUP(F17,'Stages &amp; lists'!$B$6:$D$12,3,FALSE),"?"))</f>
        <v>Open</v>
      </c>
      <c r="N17" s="49">
        <f>IF(AND(B17="",C17="",G17=""),"",IF(F17="","Pick a stage",IF(M17="?","Unknown stage",IF(N(G17)=0,"Add value",IF(M17&lt;&gt;"Open","",IF(NOT(ISNUMBER(K17)),"Add close date",IF(K17&lt;'Start here'!$C$22,"Date passed: update",IF(L17&gt;EDATE('Start here'!$C$22,11),"Beyond 12 months",""))))))))</f>
        <v/>
      </c>
      <c r="O17" s="43" t="inlineStr">
        <is>
          <t>Tender clarification meeting</t>
        </is>
      </c>
    </row>
    <row r="18">
      <c r="B18" s="43" t="inlineStr">
        <is>
          <t>Lab equipment</t>
        </is>
      </c>
      <c r="C18" s="43" t="inlineStr">
        <is>
          <t>University (Example)</t>
        </is>
      </c>
      <c r="D18" s="43" t="inlineStr">
        <is>
          <t>Sales rep 1 (Example)</t>
        </is>
      </c>
      <c r="E18" s="43" t="inlineStr">
        <is>
          <t>Tender</t>
        </is>
      </c>
      <c r="F18" s="43" t="inlineStr">
        <is>
          <t>Qualified</t>
        </is>
      </c>
      <c r="G18" s="44" t="n">
        <v>195000</v>
      </c>
      <c r="H18" s="45" t="n"/>
      <c r="I18" s="27">
        <f>IF(F18="","",IF(M18="Won",1,IF(M18="Lost",0,IF(ISNUMBER(H18),H18,IFERROR(VLOOKUP(F18,'Stages &amp; lists'!$B$6:$D$12,2,FALSE),0)))))</f>
        <v>0.25</v>
      </c>
      <c r="J18" s="22">
        <f>IF(OR(G18="",I18=""),"",G18*I18)</f>
        <v>48750</v>
      </c>
      <c r="K18" s="46" t="n">
        <v>46492</v>
      </c>
      <c r="L18" s="47">
        <f>IF(ISNUMBER(K18),DATE(YEAR(K18),MONTH(K18),1),"")</f>
        <v>46478.0</v>
      </c>
      <c r="M18" s="48" t="str">
        <f>IF(F18="","",IFERROR(VLOOKUP(F18,'Stages &amp; lists'!$B$6:$D$12,3,FALSE),"?"))</f>
        <v>Open</v>
      </c>
      <c r="N18" s="49">
        <f>IF(AND(B18="",C18="",G18=""),"",IF(F18="","Pick a stage",IF(M18="?","Unknown stage",IF(N(G18)=0,"Add value",IF(M18&lt;&gt;"Open","",IF(NOT(ISNUMBER(K18)),"Add close date",IF(K18&lt;'Start here'!$C$22,"Date passed: update",IF(L18&gt;EDATE('Start here'!$C$22,11),"Beyond 12 months",""))))))))</f>
        <v/>
      </c>
      <c r="O18" s="43" t="inlineStr">
        <is>
          <t>Confirm budget approval</t>
        </is>
      </c>
    </row>
    <row r="19">
      <c r="B19" s="43" t="inlineStr">
        <is>
          <t>Showroom refresh</t>
        </is>
      </c>
      <c r="C19" s="43" t="inlineStr">
        <is>
          <t>Car Dealer (Example)</t>
        </is>
      </c>
      <c r="D19" s="43" t="inlineStr">
        <is>
          <t>Sales rep 2 (Example)</t>
        </is>
      </c>
      <c r="E19" s="43" t="inlineStr">
        <is>
          <t>Website / inbound</t>
        </is>
      </c>
      <c r="F19" s="43" t="inlineStr">
        <is>
          <t>Lead</t>
        </is>
      </c>
      <c r="G19" s="44" t="n">
        <v>46000</v>
      </c>
      <c r="H19" s="45" t="n"/>
      <c r="I19" s="27">
        <f>IF(F19="","",IF(M19="Won",1,IF(M19="Lost",0,IF(ISNUMBER(H19),H19,IFERROR(VLOOKUP(F19,'Stages &amp; lists'!$B$6:$D$12,2,FALSE),0)))))</f>
        <v>0.1</v>
      </c>
      <c r="J19" s="22">
        <f>IF(OR(G19="",I19=""),"",G19*I19)</f>
        <v>4600</v>
      </c>
      <c r="K19" s="46" t="n">
        <v>46502</v>
      </c>
      <c r="L19" s="47">
        <f>IF(ISNUMBER(K19),DATE(YEAR(K19),MONTH(K19),1),"")</f>
        <v>46478.0</v>
      </c>
      <c r="M19" s="48" t="str">
        <f>IF(F19="","",IFERROR(VLOOKUP(F19,'Stages &amp; lists'!$B$6:$D$12,3,FALSE),"?"))</f>
        <v>Open</v>
      </c>
      <c r="N19" s="49">
        <f>IF(AND(B19="",C19="",G19=""),"",IF(F19="","Pick a stage",IF(M19="?","Unknown stage",IF(N(G19)=0,"Add value",IF(M19&lt;&gt;"Open","",IF(NOT(ISNUMBER(K19)),"Add close date",IF(K19&lt;'Start here'!$C$22,"Date passed: update",IF(L19&gt;EDATE('Start here'!$C$22,11),"Beyond 12 months",""))))))))</f>
        <v/>
      </c>
      <c r="O19" s="43" t="inlineStr">
        <is>
          <t>Send credentials</t>
        </is>
      </c>
    </row>
    <row r="20">
      <c r="B20" s="43" t="inlineStr">
        <is>
          <t>Solar panels pilot</t>
        </is>
      </c>
      <c r="C20" s="43" t="inlineStr">
        <is>
          <t>Factory B (Example)</t>
        </is>
      </c>
      <c r="D20" s="43" t="inlineStr">
        <is>
          <t>Owner / GM (Example)</t>
        </is>
      </c>
      <c r="E20" s="43" t="inlineStr">
        <is>
          <t>Partner</t>
        </is>
      </c>
      <c r="F20" s="43" t="inlineStr">
        <is>
          <t>Qualified</t>
        </is>
      </c>
      <c r="G20" s="44" t="n">
        <v>130000</v>
      </c>
      <c r="H20" s="45" t="n"/>
      <c r="I20" s="27">
        <f>IF(F20="","",IF(M20="Won",1,IF(M20="Lost",0,IF(ISNUMBER(H20),H20,IFERROR(VLOOKUP(F20,'Stages &amp; lists'!$B$6:$D$12,2,FALSE),0)))))</f>
        <v>0.25</v>
      </c>
      <c r="J20" s="22">
        <f>IF(OR(G20="",I20=""),"",G20*I20)</f>
        <v>32500</v>
      </c>
      <c r="K20" s="46" t="n">
        <v>46527</v>
      </c>
      <c r="L20" s="47">
        <f>IF(ISNUMBER(K20),DATE(YEAR(K20),MONTH(K20),1),"")</f>
        <v>46508.0</v>
      </c>
      <c r="M20" s="48" t="str">
        <f>IF(F20="","",IFERROR(VLOOKUP(F20,'Stages &amp; lists'!$B$6:$D$12,3,FALSE),"?"))</f>
        <v>Open</v>
      </c>
      <c r="N20" s="49">
        <f>IF(AND(B20="",C20="",G20=""),"",IF(F20="","Pick a stage",IF(M20="?","Unknown stage",IF(N(G20)=0,"Add value",IF(M20&lt;&gt;"Open","",IF(NOT(ISNUMBER(K20)),"Add close date",IF(K20&lt;'Start here'!$C$22,"Date passed: update",IF(L20&gt;EDATE('Start here'!$C$22,11),"Beyond 12 months",""))))))))</f>
        <v/>
      </c>
      <c r="O20" s="43" t="inlineStr">
        <is>
          <t>Technical survey</t>
        </is>
      </c>
    </row>
    <row r="21">
      <c r="B21" s="43" t="inlineStr">
        <is>
          <t>Annual supply agreement</t>
        </is>
      </c>
      <c r="C21" s="43" t="inlineStr">
        <is>
          <t>Hotel B (Example)</t>
        </is>
      </c>
      <c r="D21" s="43" t="inlineStr">
        <is>
          <t>Sales rep 2 (Example)</t>
        </is>
      </c>
      <c r="E21" s="43" t="inlineStr">
        <is>
          <t>Existing customer</t>
        </is>
      </c>
      <c r="F21" s="43" t="inlineStr">
        <is>
          <t>Negotiation</t>
        </is>
      </c>
      <c r="G21" s="44" t="n">
        <v>110000</v>
      </c>
      <c r="H21" s="45" t="n"/>
      <c r="I21" s="27">
        <f>IF(F21="","",IF(M21="Won",1,IF(M21="Lost",0,IF(ISNUMBER(H21),H21,IFERROR(VLOOKUP(F21,'Stages &amp; lists'!$B$6:$D$12,2,FALSE),0)))))</f>
        <v>0.7</v>
      </c>
      <c r="J21" s="22">
        <f>IF(OR(G21="",I21=""),"",G21*I21)</f>
        <v>77000</v>
      </c>
      <c r="K21" s="46" t="n">
        <v>46539</v>
      </c>
      <c r="L21" s="47">
        <f>IF(ISNUMBER(K21),DATE(YEAR(K21),MONTH(K21),1),"")</f>
        <v>46539.0</v>
      </c>
      <c r="M21" s="48" t="str">
        <f>IF(F21="","",IFERROR(VLOOKUP(F21,'Stages &amp; lists'!$B$6:$D$12,3,FALSE),"?"))</f>
        <v>Open</v>
      </c>
      <c r="N21" s="49">
        <f>IF(AND(B21="",C21="",G21=""),"",IF(F21="","Pick a stage",IF(M21="?","Unknown stage",IF(N(G21)=0,"Add value",IF(M21&lt;&gt;"Open","",IF(NOT(ISNUMBER(K21)),"Add close date",IF(K21&lt;'Start here'!$C$22,"Date passed: update",IF(L21&gt;EDATE('Start here'!$C$22,11),"Beyond 12 months",""))))))))</f>
        <v/>
      </c>
      <c r="O21" s="43" t="inlineStr">
        <is>
          <t>Volume tiers to agree</t>
        </is>
      </c>
    </row>
    <row r="22">
      <c r="B22" s="43" t="inlineStr">
        <is>
          <t>New branch fit-out</t>
        </is>
      </c>
      <c r="C22" s="43" t="inlineStr">
        <is>
          <t>Bank Branch Network (Example)</t>
        </is>
      </c>
      <c r="D22" s="43" t="inlineStr">
        <is>
          <t>Owner / GM (Example)</t>
        </is>
      </c>
      <c r="E22" s="43" t="inlineStr">
        <is>
          <t>Referral</t>
        </is>
      </c>
      <c r="F22" s="43" t="inlineStr">
        <is>
          <t>Lead</t>
        </is>
      </c>
      <c r="G22" s="44" t="n">
        <v>260000</v>
      </c>
      <c r="H22" s="45" t="n"/>
      <c r="I22" s="27">
        <f>IF(F22="","",IF(M22="Won",1,IF(M22="Lost",0,IF(ISNUMBER(H22),H22,IFERROR(VLOOKUP(F22,'Stages &amp; lists'!$B$6:$D$12,2,FALSE),0)))))</f>
        <v>0.1</v>
      </c>
      <c r="J22" s="22">
        <f>IF(OR(G22="",I22=""),"",G22*I22)</f>
        <v>26000</v>
      </c>
      <c r="K22" s="46" t="n">
        <v>46583</v>
      </c>
      <c r="L22" s="47">
        <f>IF(ISNUMBER(K22),DATE(YEAR(K22),MONTH(K22),1),"")</f>
        <v>46569.0</v>
      </c>
      <c r="M22" s="48" t="str">
        <f>IF(F22="","",IFERROR(VLOOKUP(F22,'Stages &amp; lists'!$B$6:$D$12,3,FALSE),"?"))</f>
        <v>Open</v>
      </c>
      <c r="N22" s="49">
        <f>IF(AND(B22="",C22="",G22=""),"",IF(F22="","Pick a stage",IF(M22="?","Unknown stage",IF(N(G22)=0,"Add value",IF(M22&lt;&gt;"Open","",IF(NOT(ISNUMBER(K22)),"Add close date",IF(K22&lt;'Start here'!$C$22,"Date passed: update",IF(L22&gt;EDATE('Start here'!$C$22,11),"Beyond 12 months",""))))))))</f>
        <v/>
      </c>
      <c r="O22" s="43" t="inlineStr">
        <is>
          <t>Intro meeting</t>
        </is>
      </c>
    </row>
    <row r="23">
      <c r="B23" s="43" t="inlineStr">
        <is>
          <t>Cold-chain monitoring</t>
        </is>
      </c>
      <c r="C23" s="43" t="inlineStr">
        <is>
          <t>Pharma Distributor (Example)</t>
        </is>
      </c>
      <c r="D23" s="43" t="inlineStr">
        <is>
          <t>Sales rep 1 (Example)</t>
        </is>
      </c>
      <c r="E23" s="43" t="inlineStr">
        <is>
          <t>Event / exhibition</t>
        </is>
      </c>
      <c r="F23" s="43" t="inlineStr">
        <is>
          <t>Proposal sent</t>
        </is>
      </c>
      <c r="G23" s="44" t="n">
        <v>68000</v>
      </c>
      <c r="H23" s="45" t="n"/>
      <c r="I23" s="27">
        <f>IF(F23="","",IF(M23="Won",1,IF(M23="Lost",0,IF(ISNUMBER(H23),H23,IFERROR(VLOOKUP(F23,'Stages &amp; lists'!$B$6:$D$12,2,FALSE),0)))))</f>
        <v>0.5</v>
      </c>
      <c r="J23" s="22">
        <f>IF(OR(G23="",I23=""),"",G23*I23)</f>
        <v>34000</v>
      </c>
      <c r="K23" s="46" t="n">
        <v>46558</v>
      </c>
      <c r="L23" s="47">
        <f>IF(ISNUMBER(K23),DATE(YEAR(K23),MONTH(K23),1),"")</f>
        <v>46539.0</v>
      </c>
      <c r="M23" s="48" t="str">
        <f>IF(F23="","",IFERROR(VLOOKUP(F23,'Stages &amp; lists'!$B$6:$D$12,3,FALSE),"?"))</f>
        <v>Open</v>
      </c>
      <c r="N23" s="49">
        <f>IF(AND(B23="",C23="",G23=""),"",IF(F23="","Pick a stage",IF(M23="?","Unknown stage",IF(N(G23)=0,"Add value",IF(M23&lt;&gt;"Open","",IF(NOT(ISNUMBER(K23)),"Add close date",IF(K23&lt;'Start here'!$C$22,"Date passed: update",IF(L23&gt;EDATE('Start here'!$C$22,11),"Beyond 12 months",""))))))))</f>
        <v/>
      </c>
      <c r="O23" s="43" t="inlineStr">
        <is>
          <t>Demo for QA team</t>
        </is>
      </c>
    </row>
    <row r="24">
      <c r="B24" s="43" t="inlineStr">
        <is>
          <t>Office furniture</t>
        </is>
      </c>
      <c r="C24" s="43" t="inlineStr">
        <is>
          <t>Consulting Firm (Example)</t>
        </is>
      </c>
      <c r="D24" s="43" t="inlineStr">
        <is>
          <t>Sales rep 2 (Example)</t>
        </is>
      </c>
      <c r="E24" s="43" t="inlineStr">
        <is>
          <t>Website / inbound</t>
        </is>
      </c>
      <c r="F24" s="43" t="inlineStr">
        <is>
          <t>Verbal agreement</t>
        </is>
      </c>
      <c r="G24" s="44" t="n">
        <v>34000</v>
      </c>
      <c r="H24" s="45" t="n"/>
      <c r="I24" s="27">
        <f>IF(F24="","",IF(M24="Won",1,IF(M24="Lost",0,IF(ISNUMBER(H24),H24,IFERROR(VLOOKUP(F24,'Stages &amp; lists'!$B$6:$D$12,2,FALSE),0)))))</f>
        <v>0.9</v>
      </c>
      <c r="J24" s="22">
        <f>IF(OR(G24="",I24=""),"",G24*I24)</f>
        <v>30600</v>
      </c>
      <c r="K24" s="46" t="n">
        <v>46357</v>
      </c>
      <c r="L24" s="47">
        <f>IF(ISNUMBER(K24),DATE(YEAR(K24),MONTH(K24),1),"")</f>
        <v>46357.0</v>
      </c>
      <c r="M24" s="48" t="str">
        <f>IF(F24="","",IFERROR(VLOOKUP(F24,'Stages &amp; lists'!$B$6:$D$12,3,FALSE),"?"))</f>
        <v>Open</v>
      </c>
      <c r="N24" s="49">
        <f>IF(AND(B24="",C24="",G24=""),"",IF(F24="","Pick a stage",IF(M24="?","Unknown stage",IF(N(G24)=0,"Add value",IF(M24&lt;&gt;"Open","",IF(NOT(ISNUMBER(K24)),"Add close date",IF(K24&lt;'Start here'!$C$22,"Date passed: update",IF(L24&gt;EDATE('Start here'!$C$22,11),"Beyond 12 months",""))))))))</f>
        <v/>
      </c>
      <c r="O24" s="43" t="inlineStr">
        <is>
          <t>Waiting for deposit</t>
        </is>
      </c>
    </row>
    <row r="25">
      <c r="B25" s="43" t="inlineStr">
        <is>
          <t>Facility management</t>
        </is>
      </c>
      <c r="C25" s="43" t="inlineStr">
        <is>
          <t>Residential Compound (Example)</t>
        </is>
      </c>
      <c r="D25" s="43" t="inlineStr">
        <is>
          <t>Owner / GM (Example)</t>
        </is>
      </c>
      <c r="E25" s="43" t="inlineStr">
        <is>
          <t>Cold outreach</t>
        </is>
      </c>
      <c r="F25" s="43" t="inlineStr">
        <is>
          <t>Lead</t>
        </is>
      </c>
      <c r="G25" s="44" t="n">
        <v>300000</v>
      </c>
      <c r="H25" s="45" t="n"/>
      <c r="I25" s="27">
        <f>IF(F25="","",IF(M25="Won",1,IF(M25="Lost",0,IF(ISNUMBER(H25),H25,IFERROR(VLOOKUP(F25,'Stages &amp; lists'!$B$6:$D$12,2,FALSE),0)))))</f>
        <v>0.1</v>
      </c>
      <c r="J25" s="22">
        <f>IF(OR(G25="",I25=""),"",G25*I25)</f>
        <v>30000</v>
      </c>
      <c r="K25" s="46" t="n">
        <v>46631</v>
      </c>
      <c r="L25" s="47">
        <f>IF(ISNUMBER(K25),DATE(YEAR(K25),MONTH(K25),1),"")</f>
        <v>46631.0</v>
      </c>
      <c r="M25" s="48" t="str">
        <f>IF(F25="","",IFERROR(VLOOKUP(F25,'Stages &amp; lists'!$B$6:$D$12,3,FALSE),"?"))</f>
        <v>Open</v>
      </c>
      <c r="N25" s="49">
        <f>IF(AND(B25="",C25="",G25=""),"",IF(F25="","Pick a stage",IF(M25="?","Unknown stage",IF(N(G25)=0,"Add value",IF(M25&lt;&gt;"Open","",IF(NOT(ISNUMBER(K25)),"Add close date",IF(K25&lt;'Start here'!$C$22,"Date passed: update",IF(L25&gt;EDATE('Start here'!$C$22,11),"Beyond 12 months",""))))))))</f>
        <v/>
      </c>
      <c r="O25" s="43" t="inlineStr">
        <is>
          <t>Needs analysis</t>
        </is>
      </c>
    </row>
    <row r="26">
      <c r="B26" s="43" t="inlineStr">
        <is>
          <t>Spare parts contract</t>
        </is>
      </c>
      <c r="C26" s="43" t="inlineStr">
        <is>
          <t>Factory A (Example)</t>
        </is>
      </c>
      <c r="D26" s="43" t="inlineStr">
        <is>
          <t>Sales rep 1 (Example)</t>
        </is>
      </c>
      <c r="E26" s="43" t="inlineStr">
        <is>
          <t>Existing customer</t>
        </is>
      </c>
      <c r="F26" s="43" t="inlineStr">
        <is>
          <t>Qualified</t>
        </is>
      </c>
      <c r="G26" s="44" t="n">
        <v>58000</v>
      </c>
      <c r="H26" s="45" t="n"/>
      <c r="I26" s="27">
        <f>IF(F26="","",IF(M26="Won",1,IF(M26="Lost",0,IF(ISNUMBER(H26),H26,IFERROR(VLOOKUP(F26,'Stages &amp; lists'!$B$6:$D$12,2,FALSE),0)))))</f>
        <v>0.25</v>
      </c>
      <c r="J26" s="22">
        <f>IF(OR(G26="",I26=""),"",G26*I26)</f>
        <v>14500</v>
      </c>
      <c r="K26" s="46" t="n">
        <v>46609</v>
      </c>
      <c r="L26" s="47">
        <f>IF(ISNUMBER(K26),DATE(YEAR(K26),MONTH(K26),1),"")</f>
        <v>46600.0</v>
      </c>
      <c r="M26" s="48" t="str">
        <f>IF(F26="","",IFERROR(VLOOKUP(F26,'Stages &amp; lists'!$B$6:$D$12,3,FALSE),"?"))</f>
        <v>Open</v>
      </c>
      <c r="N26" s="49">
        <f>IF(AND(B26="",C26="",G26=""),"",IF(F26="","Pick a stage",IF(M26="?","Unknown stage",IF(N(G26)=0,"Add value",IF(M26&lt;&gt;"Open","",IF(NOT(ISNUMBER(K26)),"Add close date",IF(K26&lt;'Start here'!$C$22,"Date passed: update",IF(L26&gt;EDATE('Start here'!$C$22,11),"Beyond 12 months",""))))))))</f>
        <v/>
      </c>
      <c r="O26" s="43" t="inlineStr">
        <is>
          <t>Price list to share</t>
        </is>
      </c>
    </row>
    <row r="27">
      <c r="B27" s="43" t="inlineStr">
        <is>
          <t>Clinic expansion</t>
        </is>
      </c>
      <c r="C27" s="43" t="inlineStr">
        <is>
          <t>Clinic Group (Example)</t>
        </is>
      </c>
      <c r="D27" s="43" t="inlineStr">
        <is>
          <t>Sales rep 2 (Example)</t>
        </is>
      </c>
      <c r="E27" s="43" t="inlineStr">
        <is>
          <t>Existing customer</t>
        </is>
      </c>
      <c r="F27" s="43" t="inlineStr">
        <is>
          <t>Lead</t>
        </is>
      </c>
      <c r="G27" s="44" t="n">
        <v>220000</v>
      </c>
      <c r="H27" s="45" t="n"/>
      <c r="I27" s="27">
        <f>IF(F27="","",IF(M27="Won",1,IF(M27="Lost",0,IF(ISNUMBER(H27),H27,IFERROR(VLOOKUP(F27,'Stages &amp; lists'!$B$6:$D$12,2,FALSE),0)))))</f>
        <v>0.1</v>
      </c>
      <c r="J27" s="22">
        <f>IF(OR(G27="",I27=""),"",G27*I27)</f>
        <v>22000</v>
      </c>
      <c r="K27" s="46" t="n">
        <v>46706</v>
      </c>
      <c r="L27" s="47">
        <f>IF(ISNUMBER(K27),DATE(YEAR(K27),MONTH(K27),1),"")</f>
        <v>46692.0</v>
      </c>
      <c r="M27" s="48" t="str">
        <f>IF(F27="","",IFERROR(VLOOKUP(F27,'Stages &amp; lists'!$B$6:$D$12,3,FALSE),"?"))</f>
        <v>Open</v>
      </c>
      <c r="N27" s="49" t="str">
        <f>IF(AND(B27="",C27="",G27=""),"",IF(F27="","Pick a stage",IF(M27="?","Unknown stage",IF(N(G27)=0,"Add value",IF(M27&lt;&gt;"Open","",IF(NOT(ISNUMBER(K27)),"Add close date",IF(K27&lt;'Start here'!$C$22,"Date passed: update",IF(L27&gt;EDATE('Start here'!$C$22,11),"Beyond 12 months",""))))))))</f>
        <v>Beyond 12 months</v>
      </c>
      <c r="O27" s="43" t="inlineStr">
        <is>
          <t>Landlord approval pending</t>
        </is>
      </c>
    </row>
    <row r="28">
      <c r="B28" s="43" t="inlineStr">
        <is>
          <t>Signage package</t>
        </is>
      </c>
      <c r="C28" s="43" t="inlineStr">
        <is>
          <t>Retail Chain (Example)</t>
        </is>
      </c>
      <c r="D28" s="43" t="inlineStr">
        <is>
          <t>Sales rep 1 (Example)</t>
        </is>
      </c>
      <c r="E28" s="43" t="inlineStr">
        <is>
          <t>Existing customer</t>
        </is>
      </c>
      <c r="F28" s="43" t="inlineStr">
        <is>
          <t>Proposal sent</t>
        </is>
      </c>
      <c r="G28" s="44" t="n">
        <v>42000</v>
      </c>
      <c r="H28" s="45" t="n"/>
      <c r="I28" s="27">
        <f>IF(F28="","",IF(M28="Won",1,IF(M28="Lost",0,IF(ISNUMBER(H28),H28,IFERROR(VLOOKUP(F28,'Stages &amp; lists'!$B$6:$D$12,2,FALSE),0)))))</f>
        <v>0.5</v>
      </c>
      <c r="J28" s="22">
        <f>IF(OR(G28="",I28=""),"",G28*I28)</f>
        <v>21000</v>
      </c>
      <c r="K28" s="46" t="n">
        <v>46310</v>
      </c>
      <c r="L28" s="47">
        <f>IF(ISNUMBER(K28),DATE(YEAR(K28),MONTH(K28),1),"")</f>
        <v>46296.0</v>
      </c>
      <c r="M28" s="48" t="str">
        <f>IF(F28="","",IFERROR(VLOOKUP(F28,'Stages &amp; lists'!$B$6:$D$12,3,FALSE),"?"))</f>
        <v>Open</v>
      </c>
      <c r="N28" s="49" t="str">
        <f>IF(AND(B28="",C28="",G28=""),"",IF(F28="","Pick a stage",IF(M28="?","Unknown stage",IF(N(G28)=0,"Add value",IF(M28&lt;&gt;"Open","",IF(NOT(ISNUMBER(K28)),"Add close date",IF(K28&lt;'Start here'!$C$22,"Date passed: update",IF(L28&gt;EDATE('Start here'!$C$22,11),"Beyond 12 months",""))))))))</f>
        <v>Date passed: update</v>
      </c>
      <c r="O28" s="43" t="inlineStr">
        <is>
          <t>Close date passed: confirm status</t>
        </is>
      </c>
    </row>
    <row r="29">
      <c r="B29" s="43" t="inlineStr">
        <is>
          <t>Data-centre cooling</t>
        </is>
      </c>
      <c r="C29" s="43" t="inlineStr">
        <is>
          <t>Telecom Contractor (Example)</t>
        </is>
      </c>
      <c r="D29" s="43" t="inlineStr">
        <is>
          <t>Owner / GM (Example)</t>
        </is>
      </c>
      <c r="E29" s="43" t="inlineStr">
        <is>
          <t>Partner</t>
        </is>
      </c>
      <c r="F29" s="43" t="inlineStr">
        <is>
          <t>Qualified</t>
        </is>
      </c>
      <c r="G29" s="44" t="n">
        <v>175000</v>
      </c>
      <c r="H29" s="45" t="n"/>
      <c r="I29" s="27">
        <f>IF(F29="","",IF(M29="Won",1,IF(M29="Lost",0,IF(ISNUMBER(H29),H29,IFERROR(VLOOKUP(F29,'Stages &amp; lists'!$B$6:$D$12,2,FALSE),0)))))</f>
        <v>0.25</v>
      </c>
      <c r="J29" s="22">
        <f>IF(OR(G29="",I29=""),"",G29*I29)</f>
        <v>43750</v>
      </c>
      <c r="K29" s="46" t="n"/>
      <c r="L29" s="47">
        <f>IF(ISNUMBER(K29),DATE(YEAR(K29),MONTH(K29),1),"")</f>
        <v/>
      </c>
      <c r="M29" s="48" t="str">
        <f>IF(F29="","",IFERROR(VLOOKUP(F29,'Stages &amp; lists'!$B$6:$D$12,3,FALSE),"?"))</f>
        <v>Open</v>
      </c>
      <c r="N29" s="49" t="str">
        <f>IF(AND(B29="",C29="",G29=""),"",IF(F29="","Pick a stage",IF(M29="?","Unknown stage",IF(N(G29)=0,"Add value",IF(M29&lt;&gt;"Open","",IF(NOT(ISNUMBER(K29)),"Add close date",IF(K29&lt;'Start here'!$C$22,"Date passed: update",IF(L29&gt;EDATE('Start here'!$C$22,11),"Beyond 12 months",""))))))))</f>
        <v>Add close date</v>
      </c>
      <c r="O29" s="43" t="inlineStr">
        <is>
          <t>Ask for project timeline</t>
        </is>
      </c>
    </row>
    <row r="30">
      <c r="B30" s="43" t="n"/>
      <c r="C30" s="43" t="n"/>
      <c r="D30" s="43" t="n"/>
      <c r="E30" s="43" t="n"/>
      <c r="F30" s="43" t="n"/>
      <c r="G30" s="44" t="n"/>
      <c r="H30" s="45" t="n"/>
      <c r="I30" s="27">
        <f>IF(F30="","",IF(M30="Won",1,IF(M30="Lost",0,IF(ISNUMBER(H30),H30,IFERROR(VLOOKUP(F30,'Stages &amp; lists'!$B$6:$D$12,2,FALSE),0)))))</f>
        <v/>
      </c>
      <c r="J30" s="22">
        <f>IF(OR(G30="",I30=""),"",G30*I30)</f>
        <v/>
      </c>
      <c r="K30" s="46" t="n"/>
      <c r="L30" s="47">
        <f>IF(ISNUMBER(K30),DATE(YEAR(K30),MONTH(K30),1),"")</f>
        <v/>
      </c>
      <c r="M30" s="48">
        <f>IF(F30="","",IFERROR(VLOOKUP(F30,'Stages &amp; lists'!$B$6:$D$12,3,FALSE),"?"))</f>
        <v/>
      </c>
      <c r="N30" s="49">
        <f>IF(AND(B30="",C30="",G30=""),"",IF(F30="","Pick a stage",IF(M30="?","Unknown stage",IF(N(G30)=0,"Add value",IF(M30&lt;&gt;"Open","",IF(NOT(ISNUMBER(K30)),"Add close date",IF(K30&lt;'Start here'!$C$22,"Date passed: update",IF(L30&gt;EDATE('Start here'!$C$22,11),"Beyond 12 months",""))))))))</f>
        <v/>
      </c>
      <c r="O30" s="43" t="n"/>
    </row>
    <row r="31">
      <c r="B31" s="43" t="n"/>
      <c r="C31" s="43" t="n"/>
      <c r="D31" s="43" t="n"/>
      <c r="E31" s="43" t="n"/>
      <c r="F31" s="43" t="n"/>
      <c r="G31" s="44" t="n"/>
      <c r="H31" s="45" t="n"/>
      <c r="I31" s="27">
        <f>IF(F31="","",IF(M31="Won",1,IF(M31="Lost",0,IF(ISNUMBER(H31),H31,IFERROR(VLOOKUP(F31,'Stages &amp; lists'!$B$6:$D$12,2,FALSE),0)))))</f>
        <v/>
      </c>
      <c r="J31" s="22">
        <f>IF(OR(G31="",I31=""),"",G31*I31)</f>
        <v/>
      </c>
      <c r="K31" s="46" t="n"/>
      <c r="L31" s="47">
        <f>IF(ISNUMBER(K31),DATE(YEAR(K31),MONTH(K31),1),"")</f>
        <v/>
      </c>
      <c r="M31" s="48">
        <f>IF(F31="","",IFERROR(VLOOKUP(F31,'Stages &amp; lists'!$B$6:$D$12,3,FALSE),"?"))</f>
        <v/>
      </c>
      <c r="N31" s="49">
        <f>IF(AND(B31="",C31="",G31=""),"",IF(F31="","Pick a stage",IF(M31="?","Unknown stage",IF(N(G31)=0,"Add value",IF(M31&lt;&gt;"Open","",IF(NOT(ISNUMBER(K31)),"Add close date",IF(K31&lt;'Start here'!$C$22,"Date passed: update",IF(L31&gt;EDATE('Start here'!$C$22,11),"Beyond 12 months",""))))))))</f>
        <v/>
      </c>
      <c r="O31" s="43" t="n"/>
    </row>
    <row r="32">
      <c r="B32" s="43" t="n"/>
      <c r="C32" s="43" t="n"/>
      <c r="D32" s="43" t="n"/>
      <c r="E32" s="43" t="n"/>
      <c r="F32" s="43" t="n"/>
      <c r="G32" s="44" t="n"/>
      <c r="H32" s="45" t="n"/>
      <c r="I32" s="27">
        <f>IF(F32="","",IF(M32="Won",1,IF(M32="Lost",0,IF(ISNUMBER(H32),H32,IFERROR(VLOOKUP(F32,'Stages &amp; lists'!$B$6:$D$12,2,FALSE),0)))))</f>
        <v/>
      </c>
      <c r="J32" s="22">
        <f>IF(OR(G32="",I32=""),"",G32*I32)</f>
        <v/>
      </c>
      <c r="K32" s="46" t="n"/>
      <c r="L32" s="47">
        <f>IF(ISNUMBER(K32),DATE(YEAR(K32),MONTH(K32),1),"")</f>
        <v/>
      </c>
      <c r="M32" s="48">
        <f>IF(F32="","",IFERROR(VLOOKUP(F32,'Stages &amp; lists'!$B$6:$D$12,3,FALSE),"?"))</f>
        <v/>
      </c>
      <c r="N32" s="49">
        <f>IF(AND(B32="",C32="",G32=""),"",IF(F32="","Pick a stage",IF(M32="?","Unknown stage",IF(N(G32)=0,"Add value",IF(M32&lt;&gt;"Open","",IF(NOT(ISNUMBER(K32)),"Add close date",IF(K32&lt;'Start here'!$C$22,"Date passed: update",IF(L32&gt;EDATE('Start here'!$C$22,11),"Beyond 12 months",""))))))))</f>
        <v/>
      </c>
      <c r="O32" s="43" t="n"/>
    </row>
    <row r="33">
      <c r="B33" s="43" t="n"/>
      <c r="C33" s="43" t="n"/>
      <c r="D33" s="43" t="n"/>
      <c r="E33" s="43" t="n"/>
      <c r="F33" s="43" t="n"/>
      <c r="G33" s="44" t="n"/>
      <c r="H33" s="45" t="n"/>
      <c r="I33" s="27">
        <f>IF(F33="","",IF(M33="Won",1,IF(M33="Lost",0,IF(ISNUMBER(H33),H33,IFERROR(VLOOKUP(F33,'Stages &amp; lists'!$B$6:$D$12,2,FALSE),0)))))</f>
        <v/>
      </c>
      <c r="J33" s="22">
        <f>IF(OR(G33="",I33=""),"",G33*I33)</f>
        <v/>
      </c>
      <c r="K33" s="46" t="n"/>
      <c r="L33" s="47">
        <f>IF(ISNUMBER(K33),DATE(YEAR(K33),MONTH(K33),1),"")</f>
        <v/>
      </c>
      <c r="M33" s="48">
        <f>IF(F33="","",IFERROR(VLOOKUP(F33,'Stages &amp; lists'!$B$6:$D$12,3,FALSE),"?"))</f>
        <v/>
      </c>
      <c r="N33" s="49">
        <f>IF(AND(B33="",C33="",G33=""),"",IF(F33="","Pick a stage",IF(M33="?","Unknown stage",IF(N(G33)=0,"Add value",IF(M33&lt;&gt;"Open","",IF(NOT(ISNUMBER(K33)),"Add close date",IF(K33&lt;'Start here'!$C$22,"Date passed: update",IF(L33&gt;EDATE('Start here'!$C$22,11),"Beyond 12 months",""))))))))</f>
        <v/>
      </c>
      <c r="O33" s="43" t="n"/>
    </row>
    <row r="34">
      <c r="B34" s="43" t="n"/>
      <c r="C34" s="43" t="n"/>
      <c r="D34" s="43" t="n"/>
      <c r="E34" s="43" t="n"/>
      <c r="F34" s="43" t="n"/>
      <c r="G34" s="44" t="n"/>
      <c r="H34" s="45" t="n"/>
      <c r="I34" s="27">
        <f>IF(F34="","",IF(M34="Won",1,IF(M34="Lost",0,IF(ISNUMBER(H34),H34,IFERROR(VLOOKUP(F34,'Stages &amp; lists'!$B$6:$D$12,2,FALSE),0)))))</f>
        <v/>
      </c>
      <c r="J34" s="22">
        <f>IF(OR(G34="",I34=""),"",G34*I34)</f>
        <v/>
      </c>
      <c r="K34" s="46" t="n"/>
      <c r="L34" s="47">
        <f>IF(ISNUMBER(K34),DATE(YEAR(K34),MONTH(K34),1),"")</f>
        <v/>
      </c>
      <c r="M34" s="48">
        <f>IF(F34="","",IFERROR(VLOOKUP(F34,'Stages &amp; lists'!$B$6:$D$12,3,FALSE),"?"))</f>
        <v/>
      </c>
      <c r="N34" s="49">
        <f>IF(AND(B34="",C34="",G34=""),"",IF(F34="","Pick a stage",IF(M34="?","Unknown stage",IF(N(G34)=0,"Add value",IF(M34&lt;&gt;"Open","",IF(NOT(ISNUMBER(K34)),"Add close date",IF(K34&lt;'Start here'!$C$22,"Date passed: update",IF(L34&gt;EDATE('Start here'!$C$22,11),"Beyond 12 months",""))))))))</f>
        <v/>
      </c>
      <c r="O34" s="43" t="n"/>
    </row>
    <row r="35">
      <c r="B35" s="43" t="n"/>
      <c r="C35" s="43" t="n"/>
      <c r="D35" s="43" t="n"/>
      <c r="E35" s="43" t="n"/>
      <c r="F35" s="43" t="n"/>
      <c r="G35" s="44" t="n"/>
      <c r="H35" s="45" t="n"/>
      <c r="I35" s="27">
        <f>IF(F35="","",IF(M35="Won",1,IF(M35="Lost",0,IF(ISNUMBER(H35),H35,IFERROR(VLOOKUP(F35,'Stages &amp; lists'!$B$6:$D$12,2,FALSE),0)))))</f>
        <v/>
      </c>
      <c r="J35" s="22">
        <f>IF(OR(G35="",I35=""),"",G35*I35)</f>
        <v/>
      </c>
      <c r="K35" s="46" t="n"/>
      <c r="L35" s="47">
        <f>IF(ISNUMBER(K35),DATE(YEAR(K35),MONTH(K35),1),"")</f>
        <v/>
      </c>
      <c r="M35" s="48">
        <f>IF(F35="","",IFERROR(VLOOKUP(F35,'Stages &amp; lists'!$B$6:$D$12,3,FALSE),"?"))</f>
        <v/>
      </c>
      <c r="N35" s="49">
        <f>IF(AND(B35="",C35="",G35=""),"",IF(F35="","Pick a stage",IF(M35="?","Unknown stage",IF(N(G35)=0,"Add value",IF(M35&lt;&gt;"Open","",IF(NOT(ISNUMBER(K35)),"Add close date",IF(K35&lt;'Start here'!$C$22,"Date passed: update",IF(L35&gt;EDATE('Start here'!$C$22,11),"Beyond 12 months",""))))))))</f>
        <v/>
      </c>
      <c r="O35" s="43" t="n"/>
    </row>
    <row r="36">
      <c r="B36" s="43" t="n"/>
      <c r="C36" s="43" t="n"/>
      <c r="D36" s="43" t="n"/>
      <c r="E36" s="43" t="n"/>
      <c r="F36" s="43" t="n"/>
      <c r="G36" s="44" t="n"/>
      <c r="H36" s="45" t="n"/>
      <c r="I36" s="27">
        <f>IF(F36="","",IF(M36="Won",1,IF(M36="Lost",0,IF(ISNUMBER(H36),H36,IFERROR(VLOOKUP(F36,'Stages &amp; lists'!$B$6:$D$12,2,FALSE),0)))))</f>
        <v/>
      </c>
      <c r="J36" s="22">
        <f>IF(OR(G36="",I36=""),"",G36*I36)</f>
        <v/>
      </c>
      <c r="K36" s="46" t="n"/>
      <c r="L36" s="47">
        <f>IF(ISNUMBER(K36),DATE(YEAR(K36),MONTH(K36),1),"")</f>
        <v/>
      </c>
      <c r="M36" s="48">
        <f>IF(F36="","",IFERROR(VLOOKUP(F36,'Stages &amp; lists'!$B$6:$D$12,3,FALSE),"?"))</f>
        <v/>
      </c>
      <c r="N36" s="49">
        <f>IF(AND(B36="",C36="",G36=""),"",IF(F36="","Pick a stage",IF(M36="?","Unknown stage",IF(N(G36)=0,"Add value",IF(M36&lt;&gt;"Open","",IF(NOT(ISNUMBER(K36)),"Add close date",IF(K36&lt;'Start here'!$C$22,"Date passed: update",IF(L36&gt;EDATE('Start here'!$C$22,11),"Beyond 12 months",""))))))))</f>
        <v/>
      </c>
      <c r="O36" s="43" t="n"/>
    </row>
    <row r="37">
      <c r="B37" s="43" t="n"/>
      <c r="C37" s="43" t="n"/>
      <c r="D37" s="43" t="n"/>
      <c r="E37" s="43" t="n"/>
      <c r="F37" s="43" t="n"/>
      <c r="G37" s="44" t="n"/>
      <c r="H37" s="45" t="n"/>
      <c r="I37" s="27">
        <f>IF(F37="","",IF(M37="Won",1,IF(M37="Lost",0,IF(ISNUMBER(H37),H37,IFERROR(VLOOKUP(F37,'Stages &amp; lists'!$B$6:$D$12,2,FALSE),0)))))</f>
        <v/>
      </c>
      <c r="J37" s="22">
        <f>IF(OR(G37="",I37=""),"",G37*I37)</f>
        <v/>
      </c>
      <c r="K37" s="46" t="n"/>
      <c r="L37" s="47">
        <f>IF(ISNUMBER(K37),DATE(YEAR(K37),MONTH(K37),1),"")</f>
        <v/>
      </c>
      <c r="M37" s="48">
        <f>IF(F37="","",IFERROR(VLOOKUP(F37,'Stages &amp; lists'!$B$6:$D$12,3,FALSE),"?"))</f>
        <v/>
      </c>
      <c r="N37" s="49">
        <f>IF(AND(B37="",C37="",G37=""),"",IF(F37="","Pick a stage",IF(M37="?","Unknown stage",IF(N(G37)=0,"Add value",IF(M37&lt;&gt;"Open","",IF(NOT(ISNUMBER(K37)),"Add close date",IF(K37&lt;'Start here'!$C$22,"Date passed: update",IF(L37&gt;EDATE('Start here'!$C$22,11),"Beyond 12 months",""))))))))</f>
        <v/>
      </c>
      <c r="O37" s="43" t="n"/>
    </row>
    <row r="38">
      <c r="B38" s="43" t="n"/>
      <c r="C38" s="43" t="n"/>
      <c r="D38" s="43" t="n"/>
      <c r="E38" s="43" t="n"/>
      <c r="F38" s="43" t="n"/>
      <c r="G38" s="44" t="n"/>
      <c r="H38" s="45" t="n"/>
      <c r="I38" s="27">
        <f>IF(F38="","",IF(M38="Won",1,IF(M38="Lost",0,IF(ISNUMBER(H38),H38,IFERROR(VLOOKUP(F38,'Stages &amp; lists'!$B$6:$D$12,2,FALSE),0)))))</f>
        <v/>
      </c>
      <c r="J38" s="22">
        <f>IF(OR(G38="",I38=""),"",G38*I38)</f>
        <v/>
      </c>
      <c r="K38" s="46" t="n"/>
      <c r="L38" s="47">
        <f>IF(ISNUMBER(K38),DATE(YEAR(K38),MONTH(K38),1),"")</f>
        <v/>
      </c>
      <c r="M38" s="48">
        <f>IF(F38="","",IFERROR(VLOOKUP(F38,'Stages &amp; lists'!$B$6:$D$12,3,FALSE),"?"))</f>
        <v/>
      </c>
      <c r="N38" s="49">
        <f>IF(AND(B38="",C38="",G38=""),"",IF(F38="","Pick a stage",IF(M38="?","Unknown stage",IF(N(G38)=0,"Add value",IF(M38&lt;&gt;"Open","",IF(NOT(ISNUMBER(K38)),"Add close date",IF(K38&lt;'Start here'!$C$22,"Date passed: update",IF(L38&gt;EDATE('Start here'!$C$22,11),"Beyond 12 months",""))))))))</f>
        <v/>
      </c>
      <c r="O38" s="43" t="n"/>
    </row>
    <row r="39">
      <c r="B39" s="43" t="n"/>
      <c r="C39" s="43" t="n"/>
      <c r="D39" s="43" t="n"/>
      <c r="E39" s="43" t="n"/>
      <c r="F39" s="43" t="n"/>
      <c r="G39" s="44" t="n"/>
      <c r="H39" s="45" t="n"/>
      <c r="I39" s="27">
        <f>IF(F39="","",IF(M39="Won",1,IF(M39="Lost",0,IF(ISNUMBER(H39),H39,IFERROR(VLOOKUP(F39,'Stages &amp; lists'!$B$6:$D$12,2,FALSE),0)))))</f>
        <v/>
      </c>
      <c r="J39" s="22">
        <f>IF(OR(G39="",I39=""),"",G39*I39)</f>
        <v/>
      </c>
      <c r="K39" s="46" t="n"/>
      <c r="L39" s="47">
        <f>IF(ISNUMBER(K39),DATE(YEAR(K39),MONTH(K39),1),"")</f>
        <v/>
      </c>
      <c r="M39" s="48">
        <f>IF(F39="","",IFERROR(VLOOKUP(F39,'Stages &amp; lists'!$B$6:$D$12,3,FALSE),"?"))</f>
        <v/>
      </c>
      <c r="N39" s="49">
        <f>IF(AND(B39="",C39="",G39=""),"",IF(F39="","Pick a stage",IF(M39="?","Unknown stage",IF(N(G39)=0,"Add value",IF(M39&lt;&gt;"Open","",IF(NOT(ISNUMBER(K39)),"Add close date",IF(K39&lt;'Start here'!$C$22,"Date passed: update",IF(L39&gt;EDATE('Start here'!$C$22,11),"Beyond 12 months",""))))))))</f>
        <v/>
      </c>
      <c r="O39" s="43" t="n"/>
    </row>
    <row r="40">
      <c r="B40" s="43" t="n"/>
      <c r="C40" s="43" t="n"/>
      <c r="D40" s="43" t="n"/>
      <c r="E40" s="43" t="n"/>
      <c r="F40" s="43" t="n"/>
      <c r="G40" s="44" t="n"/>
      <c r="H40" s="45" t="n"/>
      <c r="I40" s="27">
        <f>IF(F40="","",IF(M40="Won",1,IF(M40="Lost",0,IF(ISNUMBER(H40),H40,IFERROR(VLOOKUP(F40,'Stages &amp; lists'!$B$6:$D$12,2,FALSE),0)))))</f>
        <v/>
      </c>
      <c r="J40" s="22">
        <f>IF(OR(G40="",I40=""),"",G40*I40)</f>
        <v/>
      </c>
      <c r="K40" s="46" t="n"/>
      <c r="L40" s="47">
        <f>IF(ISNUMBER(K40),DATE(YEAR(K40),MONTH(K40),1),"")</f>
        <v/>
      </c>
      <c r="M40" s="48">
        <f>IF(F40="","",IFERROR(VLOOKUP(F40,'Stages &amp; lists'!$B$6:$D$12,3,FALSE),"?"))</f>
        <v/>
      </c>
      <c r="N40" s="49">
        <f>IF(AND(B40="",C40="",G40=""),"",IF(F40="","Pick a stage",IF(M40="?","Unknown stage",IF(N(G40)=0,"Add value",IF(M40&lt;&gt;"Open","",IF(NOT(ISNUMBER(K40)),"Add close date",IF(K40&lt;'Start here'!$C$22,"Date passed: update",IF(L40&gt;EDATE('Start here'!$C$22,11),"Beyond 12 months",""))))))))</f>
        <v/>
      </c>
      <c r="O40" s="43" t="n"/>
    </row>
    <row r="41">
      <c r="B41" s="43" t="n"/>
      <c r="C41" s="43" t="n"/>
      <c r="D41" s="43" t="n"/>
      <c r="E41" s="43" t="n"/>
      <c r="F41" s="43" t="n"/>
      <c r="G41" s="44" t="n"/>
      <c r="H41" s="45" t="n"/>
      <c r="I41" s="27">
        <f>IF(F41="","",IF(M41="Won",1,IF(M41="Lost",0,IF(ISNUMBER(H41),H41,IFERROR(VLOOKUP(F41,'Stages &amp; lists'!$B$6:$D$12,2,FALSE),0)))))</f>
        <v/>
      </c>
      <c r="J41" s="22">
        <f>IF(OR(G41="",I41=""),"",G41*I41)</f>
        <v/>
      </c>
      <c r="K41" s="46" t="n"/>
      <c r="L41" s="47">
        <f>IF(ISNUMBER(K41),DATE(YEAR(K41),MONTH(K41),1),"")</f>
        <v/>
      </c>
      <c r="M41" s="48">
        <f>IF(F41="","",IFERROR(VLOOKUP(F41,'Stages &amp; lists'!$B$6:$D$12,3,FALSE),"?"))</f>
        <v/>
      </c>
      <c r="N41" s="49">
        <f>IF(AND(B41="",C41="",G41=""),"",IF(F41="","Pick a stage",IF(M41="?","Unknown stage",IF(N(G41)=0,"Add value",IF(M41&lt;&gt;"Open","",IF(NOT(ISNUMBER(K41)),"Add close date",IF(K41&lt;'Start here'!$C$22,"Date passed: update",IF(L41&gt;EDATE('Start here'!$C$22,11),"Beyond 12 months",""))))))))</f>
        <v/>
      </c>
      <c r="O41" s="43" t="n"/>
    </row>
    <row r="42">
      <c r="B42" s="43" t="n"/>
      <c r="C42" s="43" t="n"/>
      <c r="D42" s="43" t="n"/>
      <c r="E42" s="43" t="n"/>
      <c r="F42" s="43" t="n"/>
      <c r="G42" s="44" t="n"/>
      <c r="H42" s="45" t="n"/>
      <c r="I42" s="27">
        <f>IF(F42="","",IF(M42="Won",1,IF(M42="Lost",0,IF(ISNUMBER(H42),H42,IFERROR(VLOOKUP(F42,'Stages &amp; lists'!$B$6:$D$12,2,FALSE),0)))))</f>
        <v/>
      </c>
      <c r="J42" s="22">
        <f>IF(OR(G42="",I42=""),"",G42*I42)</f>
        <v/>
      </c>
      <c r="K42" s="46" t="n"/>
      <c r="L42" s="47">
        <f>IF(ISNUMBER(K42),DATE(YEAR(K42),MONTH(K42),1),"")</f>
        <v/>
      </c>
      <c r="M42" s="48">
        <f>IF(F42="","",IFERROR(VLOOKUP(F42,'Stages &amp; lists'!$B$6:$D$12,3,FALSE),"?"))</f>
        <v/>
      </c>
      <c r="N42" s="49">
        <f>IF(AND(B42="",C42="",G42=""),"",IF(F42="","Pick a stage",IF(M42="?","Unknown stage",IF(N(G42)=0,"Add value",IF(M42&lt;&gt;"Open","",IF(NOT(ISNUMBER(K42)),"Add close date",IF(K42&lt;'Start here'!$C$22,"Date passed: update",IF(L42&gt;EDATE('Start here'!$C$22,11),"Beyond 12 months",""))))))))</f>
        <v/>
      </c>
      <c r="O42" s="43" t="n"/>
    </row>
    <row r="43">
      <c r="B43" s="43" t="n"/>
      <c r="C43" s="43" t="n"/>
      <c r="D43" s="43" t="n"/>
      <c r="E43" s="43" t="n"/>
      <c r="F43" s="43" t="n"/>
      <c r="G43" s="44" t="n"/>
      <c r="H43" s="45" t="n"/>
      <c r="I43" s="27">
        <f>IF(F43="","",IF(M43="Won",1,IF(M43="Lost",0,IF(ISNUMBER(H43),H43,IFERROR(VLOOKUP(F43,'Stages &amp; lists'!$B$6:$D$12,2,FALSE),0)))))</f>
        <v/>
      </c>
      <c r="J43" s="22">
        <f>IF(OR(G43="",I43=""),"",G43*I43)</f>
        <v/>
      </c>
      <c r="K43" s="46" t="n"/>
      <c r="L43" s="47">
        <f>IF(ISNUMBER(K43),DATE(YEAR(K43),MONTH(K43),1),"")</f>
        <v/>
      </c>
      <c r="M43" s="48">
        <f>IF(F43="","",IFERROR(VLOOKUP(F43,'Stages &amp; lists'!$B$6:$D$12,3,FALSE),"?"))</f>
        <v/>
      </c>
      <c r="N43" s="49">
        <f>IF(AND(B43="",C43="",G43=""),"",IF(F43="","Pick a stage",IF(M43="?","Unknown stage",IF(N(G43)=0,"Add value",IF(M43&lt;&gt;"Open","",IF(NOT(ISNUMBER(K43)),"Add close date",IF(K43&lt;'Start here'!$C$22,"Date passed: update",IF(L43&gt;EDATE('Start here'!$C$22,11),"Beyond 12 months",""))))))))</f>
        <v/>
      </c>
      <c r="O43" s="43" t="n"/>
    </row>
    <row r="44">
      <c r="B44" s="43" t="n"/>
      <c r="C44" s="43" t="n"/>
      <c r="D44" s="43" t="n"/>
      <c r="E44" s="43" t="n"/>
      <c r="F44" s="43" t="n"/>
      <c r="G44" s="44" t="n"/>
      <c r="H44" s="45" t="n"/>
      <c r="I44" s="27">
        <f>IF(F44="","",IF(M44="Won",1,IF(M44="Lost",0,IF(ISNUMBER(H44),H44,IFERROR(VLOOKUP(F44,'Stages &amp; lists'!$B$6:$D$12,2,FALSE),0)))))</f>
        <v/>
      </c>
      <c r="J44" s="22">
        <f>IF(OR(G44="",I44=""),"",G44*I44)</f>
        <v/>
      </c>
      <c r="K44" s="46" t="n"/>
      <c r="L44" s="47">
        <f>IF(ISNUMBER(K44),DATE(YEAR(K44),MONTH(K44),1),"")</f>
        <v/>
      </c>
      <c r="M44" s="48">
        <f>IF(F44="","",IFERROR(VLOOKUP(F44,'Stages &amp; lists'!$B$6:$D$12,3,FALSE),"?"))</f>
        <v/>
      </c>
      <c r="N44" s="49">
        <f>IF(AND(B44="",C44="",G44=""),"",IF(F44="","Pick a stage",IF(M44="?","Unknown stage",IF(N(G44)=0,"Add value",IF(M44&lt;&gt;"Open","",IF(NOT(ISNUMBER(K44)),"Add close date",IF(K44&lt;'Start here'!$C$22,"Date passed: update",IF(L44&gt;EDATE('Start here'!$C$22,11),"Beyond 12 months",""))))))))</f>
        <v/>
      </c>
      <c r="O44" s="43" t="n"/>
    </row>
    <row r="45">
      <c r="B45" s="43" t="n"/>
      <c r="C45" s="43" t="n"/>
      <c r="D45" s="43" t="n"/>
      <c r="E45" s="43" t="n"/>
      <c r="F45" s="43" t="n"/>
      <c r="G45" s="44" t="n"/>
      <c r="H45" s="45" t="n"/>
      <c r="I45" s="27">
        <f>IF(F45="","",IF(M45="Won",1,IF(M45="Lost",0,IF(ISNUMBER(H45),H45,IFERROR(VLOOKUP(F45,'Stages &amp; lists'!$B$6:$D$12,2,FALSE),0)))))</f>
        <v/>
      </c>
      <c r="J45" s="22">
        <f>IF(OR(G45="",I45=""),"",G45*I45)</f>
        <v/>
      </c>
      <c r="K45" s="46" t="n"/>
      <c r="L45" s="47">
        <f>IF(ISNUMBER(K45),DATE(YEAR(K45),MONTH(K45),1),"")</f>
        <v/>
      </c>
      <c r="M45" s="48">
        <f>IF(F45="","",IFERROR(VLOOKUP(F45,'Stages &amp; lists'!$B$6:$D$12,3,FALSE),"?"))</f>
        <v/>
      </c>
      <c r="N45" s="49">
        <f>IF(AND(B45="",C45="",G45=""),"",IF(F45="","Pick a stage",IF(M45="?","Unknown stage",IF(N(G45)=0,"Add value",IF(M45&lt;&gt;"Open","",IF(NOT(ISNUMBER(K45)),"Add close date",IF(K45&lt;'Start here'!$C$22,"Date passed: update",IF(L45&gt;EDATE('Start here'!$C$22,11),"Beyond 12 months",""))))))))</f>
        <v/>
      </c>
      <c r="O45" s="43" t="n"/>
    </row>
    <row r="46">
      <c r="B46" s="43" t="n"/>
      <c r="C46" s="43" t="n"/>
      <c r="D46" s="43" t="n"/>
      <c r="E46" s="43" t="n"/>
      <c r="F46" s="43" t="n"/>
      <c r="G46" s="44" t="n"/>
      <c r="H46" s="45" t="n"/>
      <c r="I46" s="27">
        <f>IF(F46="","",IF(M46="Won",1,IF(M46="Lost",0,IF(ISNUMBER(H46),H46,IFERROR(VLOOKUP(F46,'Stages &amp; lists'!$B$6:$D$12,2,FALSE),0)))))</f>
        <v/>
      </c>
      <c r="J46" s="22">
        <f>IF(OR(G46="",I46=""),"",G46*I46)</f>
        <v/>
      </c>
      <c r="K46" s="46" t="n"/>
      <c r="L46" s="47">
        <f>IF(ISNUMBER(K46),DATE(YEAR(K46),MONTH(K46),1),"")</f>
        <v/>
      </c>
      <c r="M46" s="48">
        <f>IF(F46="","",IFERROR(VLOOKUP(F46,'Stages &amp; lists'!$B$6:$D$12,3,FALSE),"?"))</f>
        <v/>
      </c>
      <c r="N46" s="49">
        <f>IF(AND(B46="",C46="",G46=""),"",IF(F46="","Pick a stage",IF(M46="?","Unknown stage",IF(N(G46)=0,"Add value",IF(M46&lt;&gt;"Open","",IF(NOT(ISNUMBER(K46)),"Add close date",IF(K46&lt;'Start here'!$C$22,"Date passed: update",IF(L46&gt;EDATE('Start here'!$C$22,11),"Beyond 12 months",""))))))))</f>
        <v/>
      </c>
      <c r="O46" s="43" t="n"/>
    </row>
    <row r="47">
      <c r="B47" s="43" t="n"/>
      <c r="C47" s="43" t="n"/>
      <c r="D47" s="43" t="n"/>
      <c r="E47" s="43" t="n"/>
      <c r="F47" s="43" t="n"/>
      <c r="G47" s="44" t="n"/>
      <c r="H47" s="45" t="n"/>
      <c r="I47" s="27">
        <f>IF(F47="","",IF(M47="Won",1,IF(M47="Lost",0,IF(ISNUMBER(H47),H47,IFERROR(VLOOKUP(F47,'Stages &amp; lists'!$B$6:$D$12,2,FALSE),0)))))</f>
        <v/>
      </c>
      <c r="J47" s="22">
        <f>IF(OR(G47="",I47=""),"",G47*I47)</f>
        <v/>
      </c>
      <c r="K47" s="46" t="n"/>
      <c r="L47" s="47">
        <f>IF(ISNUMBER(K47),DATE(YEAR(K47),MONTH(K47),1),"")</f>
        <v/>
      </c>
      <c r="M47" s="48">
        <f>IF(F47="","",IFERROR(VLOOKUP(F47,'Stages &amp; lists'!$B$6:$D$12,3,FALSE),"?"))</f>
        <v/>
      </c>
      <c r="N47" s="49">
        <f>IF(AND(B47="",C47="",G47=""),"",IF(F47="","Pick a stage",IF(M47="?","Unknown stage",IF(N(G47)=0,"Add value",IF(M47&lt;&gt;"Open","",IF(NOT(ISNUMBER(K47)),"Add close date",IF(K47&lt;'Start here'!$C$22,"Date passed: update",IF(L47&gt;EDATE('Start here'!$C$22,11),"Beyond 12 months",""))))))))</f>
        <v/>
      </c>
      <c r="O47" s="43" t="n"/>
    </row>
    <row r="48">
      <c r="B48" s="43" t="n"/>
      <c r="C48" s="43" t="n"/>
      <c r="D48" s="43" t="n"/>
      <c r="E48" s="43" t="n"/>
      <c r="F48" s="43" t="n"/>
      <c r="G48" s="44" t="n"/>
      <c r="H48" s="45" t="n"/>
      <c r="I48" s="27">
        <f>IF(F48="","",IF(M48="Won",1,IF(M48="Lost",0,IF(ISNUMBER(H48),H48,IFERROR(VLOOKUP(F48,'Stages &amp; lists'!$B$6:$D$12,2,FALSE),0)))))</f>
        <v/>
      </c>
      <c r="J48" s="22">
        <f>IF(OR(G48="",I48=""),"",G48*I48)</f>
        <v/>
      </c>
      <c r="K48" s="46" t="n"/>
      <c r="L48" s="47">
        <f>IF(ISNUMBER(K48),DATE(YEAR(K48),MONTH(K48),1),"")</f>
        <v/>
      </c>
      <c r="M48" s="48">
        <f>IF(F48="","",IFERROR(VLOOKUP(F48,'Stages &amp; lists'!$B$6:$D$12,3,FALSE),"?"))</f>
        <v/>
      </c>
      <c r="N48" s="49">
        <f>IF(AND(B48="",C48="",G48=""),"",IF(F48="","Pick a stage",IF(M48="?","Unknown stage",IF(N(G48)=0,"Add value",IF(M48&lt;&gt;"Open","",IF(NOT(ISNUMBER(K48)),"Add close date",IF(K48&lt;'Start here'!$C$22,"Date passed: update",IF(L48&gt;EDATE('Start here'!$C$22,11),"Beyond 12 months",""))))))))</f>
        <v/>
      </c>
      <c r="O48" s="43" t="n"/>
    </row>
    <row r="49">
      <c r="B49" s="43" t="n"/>
      <c r="C49" s="43" t="n"/>
      <c r="D49" s="43" t="n"/>
      <c r="E49" s="43" t="n"/>
      <c r="F49" s="43" t="n"/>
      <c r="G49" s="44" t="n"/>
      <c r="H49" s="45" t="n"/>
      <c r="I49" s="27">
        <f>IF(F49="","",IF(M49="Won",1,IF(M49="Lost",0,IF(ISNUMBER(H49),H49,IFERROR(VLOOKUP(F49,'Stages &amp; lists'!$B$6:$D$12,2,FALSE),0)))))</f>
        <v/>
      </c>
      <c r="J49" s="22">
        <f>IF(OR(G49="",I49=""),"",G49*I49)</f>
        <v/>
      </c>
      <c r="K49" s="46" t="n"/>
      <c r="L49" s="47">
        <f>IF(ISNUMBER(K49),DATE(YEAR(K49),MONTH(K49),1),"")</f>
        <v/>
      </c>
      <c r="M49" s="48">
        <f>IF(F49="","",IFERROR(VLOOKUP(F49,'Stages &amp; lists'!$B$6:$D$12,3,FALSE),"?"))</f>
        <v/>
      </c>
      <c r="N49" s="49">
        <f>IF(AND(B49="",C49="",G49=""),"",IF(F49="","Pick a stage",IF(M49="?","Unknown stage",IF(N(G49)=0,"Add value",IF(M49&lt;&gt;"Open","",IF(NOT(ISNUMBER(K49)),"Add close date",IF(K49&lt;'Start here'!$C$22,"Date passed: update",IF(L49&gt;EDATE('Start here'!$C$22,11),"Beyond 12 months",""))))))))</f>
        <v/>
      </c>
      <c r="O49" s="43" t="n"/>
    </row>
    <row r="50">
      <c r="B50" s="43" t="n"/>
      <c r="C50" s="43" t="n"/>
      <c r="D50" s="43" t="n"/>
      <c r="E50" s="43" t="n"/>
      <c r="F50" s="43" t="n"/>
      <c r="G50" s="44" t="n"/>
      <c r="H50" s="45" t="n"/>
      <c r="I50" s="27">
        <f>IF(F50="","",IF(M50="Won",1,IF(M50="Lost",0,IF(ISNUMBER(H50),H50,IFERROR(VLOOKUP(F50,'Stages &amp; lists'!$B$6:$D$12,2,FALSE),0)))))</f>
        <v/>
      </c>
      <c r="J50" s="22">
        <f>IF(OR(G50="",I50=""),"",G50*I50)</f>
        <v/>
      </c>
      <c r="K50" s="46" t="n"/>
      <c r="L50" s="47">
        <f>IF(ISNUMBER(K50),DATE(YEAR(K50),MONTH(K50),1),"")</f>
        <v/>
      </c>
      <c r="M50" s="48">
        <f>IF(F50="","",IFERROR(VLOOKUP(F50,'Stages &amp; lists'!$B$6:$D$12,3,FALSE),"?"))</f>
        <v/>
      </c>
      <c r="N50" s="49">
        <f>IF(AND(B50="",C50="",G50=""),"",IF(F50="","Pick a stage",IF(M50="?","Unknown stage",IF(N(G50)=0,"Add value",IF(M50&lt;&gt;"Open","",IF(NOT(ISNUMBER(K50)),"Add close date",IF(K50&lt;'Start here'!$C$22,"Date passed: update",IF(L50&gt;EDATE('Start here'!$C$22,11),"Beyond 12 months",""))))))))</f>
        <v/>
      </c>
      <c r="O50" s="43" t="n"/>
    </row>
    <row r="51">
      <c r="B51" s="43" t="n"/>
      <c r="C51" s="43" t="n"/>
      <c r="D51" s="43" t="n"/>
      <c r="E51" s="43" t="n"/>
      <c r="F51" s="43" t="n"/>
      <c r="G51" s="44" t="n"/>
      <c r="H51" s="45" t="n"/>
      <c r="I51" s="27">
        <f>IF(F51="","",IF(M51="Won",1,IF(M51="Lost",0,IF(ISNUMBER(H51),H51,IFERROR(VLOOKUP(F51,'Stages &amp; lists'!$B$6:$D$12,2,FALSE),0)))))</f>
        <v/>
      </c>
      <c r="J51" s="22">
        <f>IF(OR(G51="",I51=""),"",G51*I51)</f>
        <v/>
      </c>
      <c r="K51" s="46" t="n"/>
      <c r="L51" s="47">
        <f>IF(ISNUMBER(K51),DATE(YEAR(K51),MONTH(K51),1),"")</f>
        <v/>
      </c>
      <c r="M51" s="48">
        <f>IF(F51="","",IFERROR(VLOOKUP(F51,'Stages &amp; lists'!$B$6:$D$12,3,FALSE),"?"))</f>
        <v/>
      </c>
      <c r="N51" s="49">
        <f>IF(AND(B51="",C51="",G51=""),"",IF(F51="","Pick a stage",IF(M51="?","Unknown stage",IF(N(G51)=0,"Add value",IF(M51&lt;&gt;"Open","",IF(NOT(ISNUMBER(K51)),"Add close date",IF(K51&lt;'Start here'!$C$22,"Date passed: update",IF(L51&gt;EDATE('Start here'!$C$22,11),"Beyond 12 months",""))))))))</f>
        <v/>
      </c>
      <c r="O51" s="43" t="n"/>
    </row>
    <row r="52">
      <c r="B52" s="43" t="n"/>
      <c r="C52" s="43" t="n"/>
      <c r="D52" s="43" t="n"/>
      <c r="E52" s="43" t="n"/>
      <c r="F52" s="43" t="n"/>
      <c r="G52" s="44" t="n"/>
      <c r="H52" s="45" t="n"/>
      <c r="I52" s="27">
        <f>IF(F52="","",IF(M52="Won",1,IF(M52="Lost",0,IF(ISNUMBER(H52),H52,IFERROR(VLOOKUP(F52,'Stages &amp; lists'!$B$6:$D$12,2,FALSE),0)))))</f>
        <v/>
      </c>
      <c r="J52" s="22">
        <f>IF(OR(G52="",I52=""),"",G52*I52)</f>
        <v/>
      </c>
      <c r="K52" s="46" t="n"/>
      <c r="L52" s="47">
        <f>IF(ISNUMBER(K52),DATE(YEAR(K52),MONTH(K52),1),"")</f>
        <v/>
      </c>
      <c r="M52" s="48">
        <f>IF(F52="","",IFERROR(VLOOKUP(F52,'Stages &amp; lists'!$B$6:$D$12,3,FALSE),"?"))</f>
        <v/>
      </c>
      <c r="N52" s="49">
        <f>IF(AND(B52="",C52="",G52=""),"",IF(F52="","Pick a stage",IF(M52="?","Unknown stage",IF(N(G52)=0,"Add value",IF(M52&lt;&gt;"Open","",IF(NOT(ISNUMBER(K52)),"Add close date",IF(K52&lt;'Start here'!$C$22,"Date passed: update",IF(L52&gt;EDATE('Start here'!$C$22,11),"Beyond 12 months",""))))))))</f>
        <v/>
      </c>
      <c r="O52" s="43" t="n"/>
    </row>
    <row r="53">
      <c r="B53" s="43" t="n"/>
      <c r="C53" s="43" t="n"/>
      <c r="D53" s="43" t="n"/>
      <c r="E53" s="43" t="n"/>
      <c r="F53" s="43" t="n"/>
      <c r="G53" s="44" t="n"/>
      <c r="H53" s="45" t="n"/>
      <c r="I53" s="27">
        <f>IF(F53="","",IF(M53="Won",1,IF(M53="Lost",0,IF(ISNUMBER(H53),H53,IFERROR(VLOOKUP(F53,'Stages &amp; lists'!$B$6:$D$12,2,FALSE),0)))))</f>
        <v/>
      </c>
      <c r="J53" s="22">
        <f>IF(OR(G53="",I53=""),"",G53*I53)</f>
        <v/>
      </c>
      <c r="K53" s="46" t="n"/>
      <c r="L53" s="47">
        <f>IF(ISNUMBER(K53),DATE(YEAR(K53),MONTH(K53),1),"")</f>
        <v/>
      </c>
      <c r="M53" s="48">
        <f>IF(F53="","",IFERROR(VLOOKUP(F53,'Stages &amp; lists'!$B$6:$D$12,3,FALSE),"?"))</f>
        <v/>
      </c>
      <c r="N53" s="49">
        <f>IF(AND(B53="",C53="",G53=""),"",IF(F53="","Pick a stage",IF(M53="?","Unknown stage",IF(N(G53)=0,"Add value",IF(M53&lt;&gt;"Open","",IF(NOT(ISNUMBER(K53)),"Add close date",IF(K53&lt;'Start here'!$C$22,"Date passed: update",IF(L53&gt;EDATE('Start here'!$C$22,11),"Beyond 12 months",""))))))))</f>
        <v/>
      </c>
      <c r="O53" s="43" t="n"/>
    </row>
    <row r="54">
      <c r="B54" s="43" t="n"/>
      <c r="C54" s="43" t="n"/>
      <c r="D54" s="43" t="n"/>
      <c r="E54" s="43" t="n"/>
      <c r="F54" s="43" t="n"/>
      <c r="G54" s="44" t="n"/>
      <c r="H54" s="45" t="n"/>
      <c r="I54" s="27">
        <f>IF(F54="","",IF(M54="Won",1,IF(M54="Lost",0,IF(ISNUMBER(H54),H54,IFERROR(VLOOKUP(F54,'Stages &amp; lists'!$B$6:$D$12,2,FALSE),0)))))</f>
        <v/>
      </c>
      <c r="J54" s="22">
        <f>IF(OR(G54="",I54=""),"",G54*I54)</f>
        <v/>
      </c>
      <c r="K54" s="46" t="n"/>
      <c r="L54" s="47">
        <f>IF(ISNUMBER(K54),DATE(YEAR(K54),MONTH(K54),1),"")</f>
        <v/>
      </c>
      <c r="M54" s="48">
        <f>IF(F54="","",IFERROR(VLOOKUP(F54,'Stages &amp; lists'!$B$6:$D$12,3,FALSE),"?"))</f>
        <v/>
      </c>
      <c r="N54" s="49">
        <f>IF(AND(B54="",C54="",G54=""),"",IF(F54="","Pick a stage",IF(M54="?","Unknown stage",IF(N(G54)=0,"Add value",IF(M54&lt;&gt;"Open","",IF(NOT(ISNUMBER(K54)),"Add close date",IF(K54&lt;'Start here'!$C$22,"Date passed: update",IF(L54&gt;EDATE('Start here'!$C$22,11),"Beyond 12 months",""))))))))</f>
        <v/>
      </c>
      <c r="O54" s="43" t="n"/>
    </row>
    <row r="55">
      <c r="B55" s="43" t="n"/>
      <c r="C55" s="43" t="n"/>
      <c r="D55" s="43" t="n"/>
      <c r="E55" s="43" t="n"/>
      <c r="F55" s="43" t="n"/>
      <c r="G55" s="44" t="n"/>
      <c r="H55" s="45" t="n"/>
      <c r="I55" s="27">
        <f>IF(F55="","",IF(M55="Won",1,IF(M55="Lost",0,IF(ISNUMBER(H55),H55,IFERROR(VLOOKUP(F55,'Stages &amp; lists'!$B$6:$D$12,2,FALSE),0)))))</f>
        <v/>
      </c>
      <c r="J55" s="22">
        <f>IF(OR(G55="",I55=""),"",G55*I55)</f>
        <v/>
      </c>
      <c r="K55" s="46" t="n"/>
      <c r="L55" s="47">
        <f>IF(ISNUMBER(K55),DATE(YEAR(K55),MONTH(K55),1),"")</f>
        <v/>
      </c>
      <c r="M55" s="48">
        <f>IF(F55="","",IFERROR(VLOOKUP(F55,'Stages &amp; lists'!$B$6:$D$12,3,FALSE),"?"))</f>
        <v/>
      </c>
      <c r="N55" s="49">
        <f>IF(AND(B55="",C55="",G55=""),"",IF(F55="","Pick a stage",IF(M55="?","Unknown stage",IF(N(G55)=0,"Add value",IF(M55&lt;&gt;"Open","",IF(NOT(ISNUMBER(K55)),"Add close date",IF(K55&lt;'Start here'!$C$22,"Date passed: update",IF(L55&gt;EDATE('Start here'!$C$22,11),"Beyond 12 months",""))))))))</f>
        <v/>
      </c>
      <c r="O55" s="43" t="n"/>
    </row>
    <row r="56">
      <c r="B56" s="43" t="n"/>
      <c r="C56" s="43" t="n"/>
      <c r="D56" s="43" t="n"/>
      <c r="E56" s="43" t="n"/>
      <c r="F56" s="43" t="n"/>
      <c r="G56" s="44" t="n"/>
      <c r="H56" s="45" t="n"/>
      <c r="I56" s="27">
        <f>IF(F56="","",IF(M56="Won",1,IF(M56="Lost",0,IF(ISNUMBER(H56),H56,IFERROR(VLOOKUP(F56,'Stages &amp; lists'!$B$6:$D$12,2,FALSE),0)))))</f>
        <v/>
      </c>
      <c r="J56" s="22">
        <f>IF(OR(G56="",I56=""),"",G56*I56)</f>
        <v/>
      </c>
      <c r="K56" s="46" t="n"/>
      <c r="L56" s="47">
        <f>IF(ISNUMBER(K56),DATE(YEAR(K56),MONTH(K56),1),"")</f>
        <v/>
      </c>
      <c r="M56" s="48">
        <f>IF(F56="","",IFERROR(VLOOKUP(F56,'Stages &amp; lists'!$B$6:$D$12,3,FALSE),"?"))</f>
        <v/>
      </c>
      <c r="N56" s="49">
        <f>IF(AND(B56="",C56="",G56=""),"",IF(F56="","Pick a stage",IF(M56="?","Unknown stage",IF(N(G56)=0,"Add value",IF(M56&lt;&gt;"Open","",IF(NOT(ISNUMBER(K56)),"Add close date",IF(K56&lt;'Start here'!$C$22,"Date passed: update",IF(L56&gt;EDATE('Start here'!$C$22,11),"Beyond 12 months",""))))))))</f>
        <v/>
      </c>
      <c r="O56" s="43" t="n"/>
    </row>
    <row r="57">
      <c r="B57" s="43" t="n"/>
      <c r="C57" s="43" t="n"/>
      <c r="D57" s="43" t="n"/>
      <c r="E57" s="43" t="n"/>
      <c r="F57" s="43" t="n"/>
      <c r="G57" s="44" t="n"/>
      <c r="H57" s="45" t="n"/>
      <c r="I57" s="27">
        <f>IF(F57="","",IF(M57="Won",1,IF(M57="Lost",0,IF(ISNUMBER(H57),H57,IFERROR(VLOOKUP(F57,'Stages &amp; lists'!$B$6:$D$12,2,FALSE),0)))))</f>
        <v/>
      </c>
      <c r="J57" s="22">
        <f>IF(OR(G57="",I57=""),"",G57*I57)</f>
        <v/>
      </c>
      <c r="K57" s="46" t="n"/>
      <c r="L57" s="47">
        <f>IF(ISNUMBER(K57),DATE(YEAR(K57),MONTH(K57),1),"")</f>
        <v/>
      </c>
      <c r="M57" s="48">
        <f>IF(F57="","",IFERROR(VLOOKUP(F57,'Stages &amp; lists'!$B$6:$D$12,3,FALSE),"?"))</f>
        <v/>
      </c>
      <c r="N57" s="49">
        <f>IF(AND(B57="",C57="",G57=""),"",IF(F57="","Pick a stage",IF(M57="?","Unknown stage",IF(N(G57)=0,"Add value",IF(M57&lt;&gt;"Open","",IF(NOT(ISNUMBER(K57)),"Add close date",IF(K57&lt;'Start here'!$C$22,"Date passed: update",IF(L57&gt;EDATE('Start here'!$C$22,11),"Beyond 12 months",""))))))))</f>
        <v/>
      </c>
      <c r="O57" s="43" t="n"/>
    </row>
    <row r="58">
      <c r="B58" s="43" t="n"/>
      <c r="C58" s="43" t="n"/>
      <c r="D58" s="43" t="n"/>
      <c r="E58" s="43" t="n"/>
      <c r="F58" s="43" t="n"/>
      <c r="G58" s="44" t="n"/>
      <c r="H58" s="45" t="n"/>
      <c r="I58" s="27">
        <f>IF(F58="","",IF(M58="Won",1,IF(M58="Lost",0,IF(ISNUMBER(H58),H58,IFERROR(VLOOKUP(F58,'Stages &amp; lists'!$B$6:$D$12,2,FALSE),0)))))</f>
        <v/>
      </c>
      <c r="J58" s="22">
        <f>IF(OR(G58="",I58=""),"",G58*I58)</f>
        <v/>
      </c>
      <c r="K58" s="46" t="n"/>
      <c r="L58" s="47">
        <f>IF(ISNUMBER(K58),DATE(YEAR(K58),MONTH(K58),1),"")</f>
        <v/>
      </c>
      <c r="M58" s="48">
        <f>IF(F58="","",IFERROR(VLOOKUP(F58,'Stages &amp; lists'!$B$6:$D$12,3,FALSE),"?"))</f>
        <v/>
      </c>
      <c r="N58" s="49">
        <f>IF(AND(B58="",C58="",G58=""),"",IF(F58="","Pick a stage",IF(M58="?","Unknown stage",IF(N(G58)=0,"Add value",IF(M58&lt;&gt;"Open","",IF(NOT(ISNUMBER(K58)),"Add close date",IF(K58&lt;'Start here'!$C$22,"Date passed: update",IF(L58&gt;EDATE('Start here'!$C$22,11),"Beyond 12 months",""))))))))</f>
        <v/>
      </c>
      <c r="O58" s="43" t="n"/>
    </row>
    <row r="59">
      <c r="B59" s="43" t="n"/>
      <c r="C59" s="43" t="n"/>
      <c r="D59" s="43" t="n"/>
      <c r="E59" s="43" t="n"/>
      <c r="F59" s="43" t="n"/>
      <c r="G59" s="44" t="n"/>
      <c r="H59" s="45" t="n"/>
      <c r="I59" s="27">
        <f>IF(F59="","",IF(M59="Won",1,IF(M59="Lost",0,IF(ISNUMBER(H59),H59,IFERROR(VLOOKUP(F59,'Stages &amp; lists'!$B$6:$D$12,2,FALSE),0)))))</f>
        <v/>
      </c>
      <c r="J59" s="22">
        <f>IF(OR(G59="",I59=""),"",G59*I59)</f>
        <v/>
      </c>
      <c r="K59" s="46" t="n"/>
      <c r="L59" s="47">
        <f>IF(ISNUMBER(K59),DATE(YEAR(K59),MONTH(K59),1),"")</f>
        <v/>
      </c>
      <c r="M59" s="48">
        <f>IF(F59="","",IFERROR(VLOOKUP(F59,'Stages &amp; lists'!$B$6:$D$12,3,FALSE),"?"))</f>
        <v/>
      </c>
      <c r="N59" s="49">
        <f>IF(AND(B59="",C59="",G59=""),"",IF(F59="","Pick a stage",IF(M59="?","Unknown stage",IF(N(G59)=0,"Add value",IF(M59&lt;&gt;"Open","",IF(NOT(ISNUMBER(K59)),"Add close date",IF(K59&lt;'Start here'!$C$22,"Date passed: update",IF(L59&gt;EDATE('Start here'!$C$22,11),"Beyond 12 months",""))))))))</f>
        <v/>
      </c>
      <c r="O59" s="43" t="n"/>
    </row>
    <row r="60">
      <c r="B60" s="43" t="n"/>
      <c r="C60" s="43" t="n"/>
      <c r="D60" s="43" t="n"/>
      <c r="E60" s="43" t="n"/>
      <c r="F60" s="43" t="n"/>
      <c r="G60" s="44" t="n"/>
      <c r="H60" s="45" t="n"/>
      <c r="I60" s="27">
        <f>IF(F60="","",IF(M60="Won",1,IF(M60="Lost",0,IF(ISNUMBER(H60),H60,IFERROR(VLOOKUP(F60,'Stages &amp; lists'!$B$6:$D$12,2,FALSE),0)))))</f>
        <v/>
      </c>
      <c r="J60" s="22">
        <f>IF(OR(G60="",I60=""),"",G60*I60)</f>
        <v/>
      </c>
      <c r="K60" s="46" t="n"/>
      <c r="L60" s="47">
        <f>IF(ISNUMBER(K60),DATE(YEAR(K60),MONTH(K60),1),"")</f>
        <v/>
      </c>
      <c r="M60" s="48">
        <f>IF(F60="","",IFERROR(VLOOKUP(F60,'Stages &amp; lists'!$B$6:$D$12,3,FALSE),"?"))</f>
        <v/>
      </c>
      <c r="N60" s="49">
        <f>IF(AND(B60="",C60="",G60=""),"",IF(F60="","Pick a stage",IF(M60="?","Unknown stage",IF(N(G60)=0,"Add value",IF(M60&lt;&gt;"Open","",IF(NOT(ISNUMBER(K60)),"Add close date",IF(K60&lt;'Start here'!$C$22,"Date passed: update",IF(L60&gt;EDATE('Start here'!$C$22,11),"Beyond 12 months",""))))))))</f>
        <v/>
      </c>
      <c r="O60" s="43" t="n"/>
    </row>
    <row r="61">
      <c r="B61" s="43" t="n"/>
      <c r="C61" s="43" t="n"/>
      <c r="D61" s="43" t="n"/>
      <c r="E61" s="43" t="n"/>
      <c r="F61" s="43" t="n"/>
      <c r="G61" s="44" t="n"/>
      <c r="H61" s="45" t="n"/>
      <c r="I61" s="27">
        <f>IF(F61="","",IF(M61="Won",1,IF(M61="Lost",0,IF(ISNUMBER(H61),H61,IFERROR(VLOOKUP(F61,'Stages &amp; lists'!$B$6:$D$12,2,FALSE),0)))))</f>
        <v/>
      </c>
      <c r="J61" s="22">
        <f>IF(OR(G61="",I61=""),"",G61*I61)</f>
        <v/>
      </c>
      <c r="K61" s="46" t="n"/>
      <c r="L61" s="47">
        <f>IF(ISNUMBER(K61),DATE(YEAR(K61),MONTH(K61),1),"")</f>
        <v/>
      </c>
      <c r="M61" s="48">
        <f>IF(F61="","",IFERROR(VLOOKUP(F61,'Stages &amp; lists'!$B$6:$D$12,3,FALSE),"?"))</f>
        <v/>
      </c>
      <c r="N61" s="49">
        <f>IF(AND(B61="",C61="",G61=""),"",IF(F61="","Pick a stage",IF(M61="?","Unknown stage",IF(N(G61)=0,"Add value",IF(M61&lt;&gt;"Open","",IF(NOT(ISNUMBER(K61)),"Add close date",IF(K61&lt;'Start here'!$C$22,"Date passed: update",IF(L61&gt;EDATE('Start here'!$C$22,11),"Beyond 12 months",""))))))))</f>
        <v/>
      </c>
      <c r="O61" s="43" t="n"/>
    </row>
    <row r="62">
      <c r="B62" s="43" t="n"/>
      <c r="C62" s="43" t="n"/>
      <c r="D62" s="43" t="n"/>
      <c r="E62" s="43" t="n"/>
      <c r="F62" s="43" t="n"/>
      <c r="G62" s="44" t="n"/>
      <c r="H62" s="45" t="n"/>
      <c r="I62" s="27">
        <f>IF(F62="","",IF(M62="Won",1,IF(M62="Lost",0,IF(ISNUMBER(H62),H62,IFERROR(VLOOKUP(F62,'Stages &amp; lists'!$B$6:$D$12,2,FALSE),0)))))</f>
        <v/>
      </c>
      <c r="J62" s="22">
        <f>IF(OR(G62="",I62=""),"",G62*I62)</f>
        <v/>
      </c>
      <c r="K62" s="46" t="n"/>
      <c r="L62" s="47">
        <f>IF(ISNUMBER(K62),DATE(YEAR(K62),MONTH(K62),1),"")</f>
        <v/>
      </c>
      <c r="M62" s="48">
        <f>IF(F62="","",IFERROR(VLOOKUP(F62,'Stages &amp; lists'!$B$6:$D$12,3,FALSE),"?"))</f>
        <v/>
      </c>
      <c r="N62" s="49">
        <f>IF(AND(B62="",C62="",G62=""),"",IF(F62="","Pick a stage",IF(M62="?","Unknown stage",IF(N(G62)=0,"Add value",IF(M62&lt;&gt;"Open","",IF(NOT(ISNUMBER(K62)),"Add close date",IF(K62&lt;'Start here'!$C$22,"Date passed: update",IF(L62&gt;EDATE('Start here'!$C$22,11),"Beyond 12 months",""))))))))</f>
        <v/>
      </c>
      <c r="O62" s="43" t="n"/>
    </row>
    <row r="63">
      <c r="B63" s="43" t="n"/>
      <c r="C63" s="43" t="n"/>
      <c r="D63" s="43" t="n"/>
      <c r="E63" s="43" t="n"/>
      <c r="F63" s="43" t="n"/>
      <c r="G63" s="44" t="n"/>
      <c r="H63" s="45" t="n"/>
      <c r="I63" s="27">
        <f>IF(F63="","",IF(M63="Won",1,IF(M63="Lost",0,IF(ISNUMBER(H63),H63,IFERROR(VLOOKUP(F63,'Stages &amp; lists'!$B$6:$D$12,2,FALSE),0)))))</f>
        <v/>
      </c>
      <c r="J63" s="22">
        <f>IF(OR(G63="",I63=""),"",G63*I63)</f>
        <v/>
      </c>
      <c r="K63" s="46" t="n"/>
      <c r="L63" s="47">
        <f>IF(ISNUMBER(K63),DATE(YEAR(K63),MONTH(K63),1),"")</f>
        <v/>
      </c>
      <c r="M63" s="48">
        <f>IF(F63="","",IFERROR(VLOOKUP(F63,'Stages &amp; lists'!$B$6:$D$12,3,FALSE),"?"))</f>
        <v/>
      </c>
      <c r="N63" s="49">
        <f>IF(AND(B63="",C63="",G63=""),"",IF(F63="","Pick a stage",IF(M63="?","Unknown stage",IF(N(G63)=0,"Add value",IF(M63&lt;&gt;"Open","",IF(NOT(ISNUMBER(K63)),"Add close date",IF(K63&lt;'Start here'!$C$22,"Date passed: update",IF(L63&gt;EDATE('Start here'!$C$22,11),"Beyond 12 months",""))))))))</f>
        <v/>
      </c>
      <c r="O63" s="43" t="n"/>
    </row>
    <row r="64">
      <c r="B64" s="43" t="n"/>
      <c r="C64" s="43" t="n"/>
      <c r="D64" s="43" t="n"/>
      <c r="E64" s="43" t="n"/>
      <c r="F64" s="43" t="n"/>
      <c r="G64" s="44" t="n"/>
      <c r="H64" s="45" t="n"/>
      <c r="I64" s="27">
        <f>IF(F64="","",IF(M64="Won",1,IF(M64="Lost",0,IF(ISNUMBER(H64),H64,IFERROR(VLOOKUP(F64,'Stages &amp; lists'!$B$6:$D$12,2,FALSE),0)))))</f>
        <v/>
      </c>
      <c r="J64" s="22">
        <f>IF(OR(G64="",I64=""),"",G64*I64)</f>
        <v/>
      </c>
      <c r="K64" s="46" t="n"/>
      <c r="L64" s="47">
        <f>IF(ISNUMBER(K64),DATE(YEAR(K64),MONTH(K64),1),"")</f>
        <v/>
      </c>
      <c r="M64" s="48">
        <f>IF(F64="","",IFERROR(VLOOKUP(F64,'Stages &amp; lists'!$B$6:$D$12,3,FALSE),"?"))</f>
        <v/>
      </c>
      <c r="N64" s="49">
        <f>IF(AND(B64="",C64="",G64=""),"",IF(F64="","Pick a stage",IF(M64="?","Unknown stage",IF(N(G64)=0,"Add value",IF(M64&lt;&gt;"Open","",IF(NOT(ISNUMBER(K64)),"Add close date",IF(K64&lt;'Start here'!$C$22,"Date passed: update",IF(L64&gt;EDATE('Start here'!$C$22,11),"Beyond 12 months",""))))))))</f>
        <v/>
      </c>
      <c r="O64" s="43" t="n"/>
    </row>
    <row r="65">
      <c r="B65" s="43" t="n"/>
      <c r="C65" s="43" t="n"/>
      <c r="D65" s="43" t="n"/>
      <c r="E65" s="43" t="n"/>
      <c r="F65" s="43" t="n"/>
      <c r="G65" s="44" t="n"/>
      <c r="H65" s="45" t="n"/>
      <c r="I65" s="27">
        <f>IF(F65="","",IF(M65="Won",1,IF(M65="Lost",0,IF(ISNUMBER(H65),H65,IFERROR(VLOOKUP(F65,'Stages &amp; lists'!$B$6:$D$12,2,FALSE),0)))))</f>
        <v/>
      </c>
      <c r="J65" s="22">
        <f>IF(OR(G65="",I65=""),"",G65*I65)</f>
        <v/>
      </c>
      <c r="K65" s="46" t="n"/>
      <c r="L65" s="47">
        <f>IF(ISNUMBER(K65),DATE(YEAR(K65),MONTH(K65),1),"")</f>
        <v/>
      </c>
      <c r="M65" s="48">
        <f>IF(F65="","",IFERROR(VLOOKUP(F65,'Stages &amp; lists'!$B$6:$D$12,3,FALSE),"?"))</f>
        <v/>
      </c>
      <c r="N65" s="49">
        <f>IF(AND(B65="",C65="",G65=""),"",IF(F65="","Pick a stage",IF(M65="?","Unknown stage",IF(N(G65)=0,"Add value",IF(M65&lt;&gt;"Open","",IF(NOT(ISNUMBER(K65)),"Add close date",IF(K65&lt;'Start here'!$C$22,"Date passed: update",IF(L65&gt;EDATE('Start here'!$C$22,11),"Beyond 12 months",""))))))))</f>
        <v/>
      </c>
      <c r="O65" s="43" t="n"/>
    </row>
    <row r="67">
      <c r="B67" s="16" t="inlineStr">
        <is>
          <t>Probability used in bold italics = your override is applied instead of the stage default.</t>
        </is>
      </c>
    </row>
    <row r="68">
      <c r="B68" s="17" t="inlineStr">
        <is>
          <t>axcellservice.com · Free template · Book a free 30-minute consultation: axcellservice.com/contact</t>
        </is>
      </c>
    </row>
  </sheetData>
  <autoFilter ref="B5:O65"/>
  <conditionalFormatting sqref="M6:M65">
    <cfRule type="cellIs" priority="1" operator="equal" dxfId="3">
      <formula>"Won"</formula>
    </cfRule>
    <cfRule type="cellIs" priority="2" operator="equal" dxfId="4">
      <formula>"Lost"</formula>
    </cfRule>
  </conditionalFormatting>
  <conditionalFormatting sqref="I6:I65">
    <cfRule type="expression" priority="3" dxfId="5">
      <formula>ISNUMBER(H6)</formula>
    </cfRule>
  </conditionalFormatting>
  <dataValidations count="6">
    <dataValidation sqref="F6:F65" showDropDown="0" showInputMessage="0" showErrorMessage="1" allowBlank="0" errorTitle="Pick a stage" error="Choose a stage from the list (edit stages on 'Stages &amp; lists')." type="list">
      <formula1>='Stages &amp; lists'!$B$6:$B$12</formula1>
    </dataValidation>
    <dataValidation sqref="D6:D65" showDropDown="0" showInputMessage="0" showErrorMessage="1" allowBlank="0" error="Not on the owners list. Add the name on 'Stages &amp; lists' so it appears in the summary." type="list" errorStyle="warning">
      <formula1>='Stages &amp; lists'!$G$6:$G$15</formula1>
    </dataValidation>
    <dataValidation sqref="E6:E65" showDropDown="0" showInputMessage="0" showErrorMessage="1" allowBlank="0" error="Not on the lead-source list. Add it on 'Stages &amp; lists'." type="list" errorStyle="warning">
      <formula1>='Stages &amp; lists'!$I$6:$I$15</formula1>
    </dataValidation>
    <dataValidation sqref="G6:G65" showDropDown="0" showInputMessage="0" showErrorMessage="1" allowBlank="0" error="Enter a positive deal value." type="decimal" operator="greaterThanOrEqual">
      <formula1>0</formula1>
    </dataValidation>
    <dataValidation sqref="H6:H65" showDropDown="0" showInputMessage="0" showErrorMessage="1" allowBlank="0" error="Enter a probability between 0% and 100%, or leave blank to use the stage default." type="decimal" operator="between">
      <formula1>0</formula1>
      <formula2>1</formula2>
    </dataValidation>
    <dataValidation sqref="K6:K65" showDropDown="0" showInputMessage="0" showErrorMessage="1" allowBlank="0" error="Enter a date, e.g. 15/12/2026." type="date" operator="greaterThan">
      <formula1>36526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Axcell Financial Consulting · axcellservice.com · Free template&amp;R&amp;8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L4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1" customWidth="1" min="12" max="12"/>
  </cols>
  <sheetData>
    <row r="1" ht="26" customHeight="1">
      <c r="B1" s="18" t="inlineStr">
        <is>
          <t>12-month weighted forecast vs target</t>
        </is>
      </c>
    </row>
    <row r="2">
      <c r="B2" s="19" t="inlineStr">
        <is>
          <t>Axcell Financial Consulting · Sales Pipeline &amp; Weighted Forecast</t>
        </is>
      </c>
    </row>
    <row r="3">
      <c r="B3" s="16" t="str">
        <f>"Amounts in "&amp;'Start here'!$C$21&amp;". Deals are placed in the month of their expected close date. Enter your monthly target in the yellow column."</f>
        <v>Amounts in Your currency. Deals are placed in the month of their expected close date. Enter your monthly target in the yellow column.</v>
      </c>
    </row>
    <row r="5" ht="44" customHeight="1">
      <c r="B5" s="36" t="inlineStr">
        <is>
          <t>Month</t>
        </is>
      </c>
      <c r="C5" s="36" t="inlineStr">
        <is>
          <t>Deals closing</t>
        </is>
      </c>
      <c r="D5" s="36" t="inlineStr">
        <is>
          <t>Pipeline value (unweighted)</t>
        </is>
      </c>
      <c r="E5" s="36" t="inlineStr">
        <is>
          <t>Weighted forecast</t>
        </is>
      </c>
      <c r="F5" s="36" t="inlineStr">
        <is>
          <t>of which already won</t>
        </is>
      </c>
      <c r="G5" s="36" t="inlineStr">
        <is>
          <t>Target</t>
        </is>
      </c>
      <c r="H5" s="36" t="inlineStr">
        <is>
          <t>Gap: forecast − target</t>
        </is>
      </c>
      <c r="I5" s="36" t="inlineStr">
        <is>
          <t>Cumulative forecast</t>
        </is>
      </c>
      <c r="J5" s="36" t="inlineStr">
        <is>
          <t>Cumulative target</t>
        </is>
      </c>
      <c r="K5" s="36" t="inlineStr">
        <is>
          <t>Cumulative gap</t>
        </is>
      </c>
      <c r="L5" s="36" t="inlineStr">
        <is>
          <t>Forecast as % of target</t>
        </is>
      </c>
    </row>
    <row r="6">
      <c r="B6" s="50">
        <f>'Start here'!$C$22</f>
        <v>46327.0</v>
      </c>
      <c r="C6" s="35">
        <f>COUNTIFS(Pipeline!$L$6:$L$65,B6,Pipeline!$M$6:$M$65,"&lt;&gt;Lost")</f>
        <v>2</v>
      </c>
      <c r="D6" s="22">
        <f>SUMIFS(Pipeline!$G$6:$G$65,Pipeline!$L$6:$L$65,B6,Pipeline!$M$6:$M$65,"&lt;&gt;Lost")</f>
        <v>209000</v>
      </c>
      <c r="E6" s="26">
        <f>SUMIFS(Pipeline!$J$6:$J$65,Pipeline!$L$6:$L$65,B6)</f>
        <v>202600</v>
      </c>
      <c r="F6" s="22">
        <f>SUMIFS(Pipeline!$G$6:$G$65,Pipeline!$L$6:$L$65,B6,Pipeline!$M$6:$M$65,"Won")</f>
        <v>145000</v>
      </c>
      <c r="G6" s="44" t="n">
        <v>120000</v>
      </c>
      <c r="H6" s="22">
        <f>E6-G6</f>
        <v>82600</v>
      </c>
      <c r="I6" s="22">
        <f>E6</f>
        <v>202600</v>
      </c>
      <c r="J6" s="22">
        <f>N(G6)</f>
        <v>120000</v>
      </c>
      <c r="K6" s="22">
        <f>I6-J6</f>
        <v>82600</v>
      </c>
      <c r="L6" s="27">
        <f>IF(N(G6)=0,0,E6/G6)</f>
        <v>1.68833333333333</v>
      </c>
    </row>
    <row r="7">
      <c r="B7" s="50">
        <f>EDATE(B6,1)</f>
        <v>46357.0</v>
      </c>
      <c r="C7" s="35">
        <f>COUNTIFS(Pipeline!$L$6:$L$65,B7,Pipeline!$M$6:$M$65,"&lt;&gt;Lost")</f>
        <v>3</v>
      </c>
      <c r="D7" s="22">
        <f>SUMIFS(Pipeline!$G$6:$G$65,Pipeline!$L$6:$L$65,B7,Pipeline!$M$6:$M$65,"&lt;&gt;Lost")</f>
        <v>339000</v>
      </c>
      <c r="E7" s="26">
        <f>SUMIFS(Pipeline!$J$6:$J$65,Pipeline!$L$6:$L$65,B7)</f>
        <v>219100</v>
      </c>
      <c r="F7" s="22">
        <f>SUMIFS(Pipeline!$G$6:$G$65,Pipeline!$L$6:$L$65,B7,Pipeline!$M$6:$M$65,"Won")</f>
        <v>0</v>
      </c>
      <c r="G7" s="44" t="n">
        <v>120000</v>
      </c>
      <c r="H7" s="22">
        <f>E7-G7</f>
        <v>99100</v>
      </c>
      <c r="I7" s="22">
        <f>I6+E7</f>
        <v>421700</v>
      </c>
      <c r="J7" s="22">
        <f>J6+N(G7)</f>
        <v>240000</v>
      </c>
      <c r="K7" s="22">
        <f>I7-J7</f>
        <v>181700</v>
      </c>
      <c r="L7" s="27">
        <f>IF(N(G7)=0,0,E7/G7)</f>
        <v>1.82583333333333</v>
      </c>
    </row>
    <row r="8">
      <c r="B8" s="50">
        <f>EDATE(B6,2)</f>
        <v>46388.0</v>
      </c>
      <c r="C8" s="35">
        <f>COUNTIFS(Pipeline!$L$6:$L$65,B8,Pipeline!$M$6:$M$65,"&lt;&gt;Lost")</f>
        <v>2</v>
      </c>
      <c r="D8" s="22">
        <f>SUMIFS(Pipeline!$G$6:$G$65,Pipeline!$L$6:$L$65,B8,Pipeline!$M$6:$M$65,"&lt;&gt;Lost")</f>
        <v>160000</v>
      </c>
      <c r="E8" s="26">
        <f>SUMIFS(Pipeline!$J$6:$J$65,Pipeline!$L$6:$L$65,B8)</f>
        <v>72400</v>
      </c>
      <c r="F8" s="22">
        <f>SUMIFS(Pipeline!$G$6:$G$65,Pipeline!$L$6:$L$65,B8,Pipeline!$M$6:$M$65,"Won")</f>
        <v>0</v>
      </c>
      <c r="G8" s="44" t="n">
        <v>120000</v>
      </c>
      <c r="H8" s="22">
        <f>E8-G8</f>
        <v>-47600</v>
      </c>
      <c r="I8" s="22">
        <f>I7+E8</f>
        <v>494100</v>
      </c>
      <c r="J8" s="22">
        <f>J7+N(G8)</f>
        <v>360000</v>
      </c>
      <c r="K8" s="22">
        <f>I8-J8</f>
        <v>134100</v>
      </c>
      <c r="L8" s="27">
        <f>IF(N(G8)=0,0,E8/G8)</f>
        <v>0.603333333333333</v>
      </c>
    </row>
    <row r="9">
      <c r="B9" s="50">
        <f>EDATE(B6,3)</f>
        <v>46419.0</v>
      </c>
      <c r="C9" s="35">
        <f>COUNTIFS(Pipeline!$L$6:$L$65,B9,Pipeline!$M$6:$M$65,"&lt;&gt;Lost")</f>
        <v>1</v>
      </c>
      <c r="D9" s="22">
        <f>SUMIFS(Pipeline!$G$6:$G$65,Pipeline!$L$6:$L$65,B9,Pipeline!$M$6:$M$65,"&lt;&gt;Lost")</f>
        <v>240000</v>
      </c>
      <c r="E9" s="26">
        <f>SUMIFS(Pipeline!$J$6:$J$65,Pipeline!$L$6:$L$65,B9)</f>
        <v>84000</v>
      </c>
      <c r="F9" s="22">
        <f>SUMIFS(Pipeline!$G$6:$G$65,Pipeline!$L$6:$L$65,B9,Pipeline!$M$6:$M$65,"Won")</f>
        <v>0</v>
      </c>
      <c r="G9" s="44" t="n">
        <v>120000</v>
      </c>
      <c r="H9" s="22">
        <f>E9-G9</f>
        <v>-36000</v>
      </c>
      <c r="I9" s="22">
        <f>I8+E9</f>
        <v>578100</v>
      </c>
      <c r="J9" s="22">
        <f>J8+N(G9)</f>
        <v>480000</v>
      </c>
      <c r="K9" s="22">
        <f>I9-J9</f>
        <v>98100</v>
      </c>
      <c r="L9" s="27">
        <f>IF(N(G9)=0,0,E9/G9)</f>
        <v>0.7</v>
      </c>
    </row>
    <row r="10">
      <c r="B10" s="50">
        <f>EDATE(B6,4)</f>
        <v>46447.0</v>
      </c>
      <c r="C10" s="35">
        <f>COUNTIFS(Pipeline!$L$6:$L$65,B10,Pipeline!$M$6:$M$65,"&lt;&gt;Lost")</f>
        <v>2</v>
      </c>
      <c r="D10" s="22">
        <f>SUMIFS(Pipeline!$G$6:$G$65,Pipeline!$L$6:$L$65,B10,Pipeline!$M$6:$M$65,"&lt;&gt;Lost")</f>
        <v>205000</v>
      </c>
      <c r="E10" s="26">
        <f>SUMIFS(Pipeline!$J$6:$J$65,Pipeline!$L$6:$L$65,B10)</f>
        <v>80500</v>
      </c>
      <c r="F10" s="22">
        <f>SUMIFS(Pipeline!$G$6:$G$65,Pipeline!$L$6:$L$65,B10,Pipeline!$M$6:$M$65,"Won")</f>
        <v>0</v>
      </c>
      <c r="G10" s="44" t="n">
        <v>120000</v>
      </c>
      <c r="H10" s="22">
        <f>E10-G10</f>
        <v>-39500</v>
      </c>
      <c r="I10" s="22">
        <f>I9+E10</f>
        <v>658600</v>
      </c>
      <c r="J10" s="22">
        <f>J9+N(G10)</f>
        <v>600000</v>
      </c>
      <c r="K10" s="22">
        <f>I10-J10</f>
        <v>58600</v>
      </c>
      <c r="L10" s="27">
        <f>IF(N(G10)=0,0,E10/G10)</f>
        <v>0.670833333333333</v>
      </c>
    </row>
    <row r="11">
      <c r="B11" s="50">
        <f>EDATE(B6,5)</f>
        <v>46478.0</v>
      </c>
      <c r="C11" s="35">
        <f>COUNTIFS(Pipeline!$L$6:$L$65,B11,Pipeline!$M$6:$M$65,"&lt;&gt;Lost")</f>
        <v>2</v>
      </c>
      <c r="D11" s="22">
        <f>SUMIFS(Pipeline!$G$6:$G$65,Pipeline!$L$6:$L$65,B11,Pipeline!$M$6:$M$65,"&lt;&gt;Lost")</f>
        <v>241000</v>
      </c>
      <c r="E11" s="26">
        <f>SUMIFS(Pipeline!$J$6:$J$65,Pipeline!$L$6:$L$65,B11)</f>
        <v>53350</v>
      </c>
      <c r="F11" s="22">
        <f>SUMIFS(Pipeline!$G$6:$G$65,Pipeline!$L$6:$L$65,B11,Pipeline!$M$6:$M$65,"Won")</f>
        <v>0</v>
      </c>
      <c r="G11" s="44" t="n">
        <v>120000</v>
      </c>
      <c r="H11" s="22">
        <f>E11-G11</f>
        <v>-66650</v>
      </c>
      <c r="I11" s="22">
        <f>I10+E11</f>
        <v>711950</v>
      </c>
      <c r="J11" s="22">
        <f>J10+N(G11)</f>
        <v>720000</v>
      </c>
      <c r="K11" s="22">
        <f>I11-J11</f>
        <v>-8050</v>
      </c>
      <c r="L11" s="27">
        <f>IF(N(G11)=0,0,E11/G11)</f>
        <v>0.444583333333333</v>
      </c>
    </row>
    <row r="12">
      <c r="B12" s="50">
        <f>EDATE(B6,6)</f>
        <v>46508.0</v>
      </c>
      <c r="C12" s="35">
        <f>COUNTIFS(Pipeline!$L$6:$L$65,B12,Pipeline!$M$6:$M$65,"&lt;&gt;Lost")</f>
        <v>1</v>
      </c>
      <c r="D12" s="22">
        <f>SUMIFS(Pipeline!$G$6:$G$65,Pipeline!$L$6:$L$65,B12,Pipeline!$M$6:$M$65,"&lt;&gt;Lost")</f>
        <v>130000</v>
      </c>
      <c r="E12" s="26">
        <f>SUMIFS(Pipeline!$J$6:$J$65,Pipeline!$L$6:$L$65,B12)</f>
        <v>32500</v>
      </c>
      <c r="F12" s="22">
        <f>SUMIFS(Pipeline!$G$6:$G$65,Pipeline!$L$6:$L$65,B12,Pipeline!$M$6:$M$65,"Won")</f>
        <v>0</v>
      </c>
      <c r="G12" s="44" t="n">
        <v>120000</v>
      </c>
      <c r="H12" s="22">
        <f>E12-G12</f>
        <v>-87500</v>
      </c>
      <c r="I12" s="22">
        <f>I11+E12</f>
        <v>744450</v>
      </c>
      <c r="J12" s="22">
        <f>J11+N(G12)</f>
        <v>840000</v>
      </c>
      <c r="K12" s="22">
        <f>I12-J12</f>
        <v>-95550</v>
      </c>
      <c r="L12" s="27">
        <f>IF(N(G12)=0,0,E12/G12)</f>
        <v>0.270833333333333</v>
      </c>
    </row>
    <row r="13">
      <c r="B13" s="50">
        <f>EDATE(B6,7)</f>
        <v>46539.0</v>
      </c>
      <c r="C13" s="35">
        <f>COUNTIFS(Pipeline!$L$6:$L$65,B13,Pipeline!$M$6:$M$65,"&lt;&gt;Lost")</f>
        <v>2</v>
      </c>
      <c r="D13" s="22">
        <f>SUMIFS(Pipeline!$G$6:$G$65,Pipeline!$L$6:$L$65,B13,Pipeline!$M$6:$M$65,"&lt;&gt;Lost")</f>
        <v>178000</v>
      </c>
      <c r="E13" s="26">
        <f>SUMIFS(Pipeline!$J$6:$J$65,Pipeline!$L$6:$L$65,B13)</f>
        <v>111000</v>
      </c>
      <c r="F13" s="22">
        <f>SUMIFS(Pipeline!$G$6:$G$65,Pipeline!$L$6:$L$65,B13,Pipeline!$M$6:$M$65,"Won")</f>
        <v>0</v>
      </c>
      <c r="G13" s="44" t="n">
        <v>120000</v>
      </c>
      <c r="H13" s="22">
        <f>E13-G13</f>
        <v>-9000</v>
      </c>
      <c r="I13" s="22">
        <f>I12+E13</f>
        <v>855450</v>
      </c>
      <c r="J13" s="22">
        <f>J12+N(G13)</f>
        <v>960000</v>
      </c>
      <c r="K13" s="22">
        <f>I13-J13</f>
        <v>-104550</v>
      </c>
      <c r="L13" s="27">
        <f>IF(N(G13)=0,0,E13/G13)</f>
        <v>0.925</v>
      </c>
    </row>
    <row r="14">
      <c r="B14" s="50">
        <f>EDATE(B6,8)</f>
        <v>46569.0</v>
      </c>
      <c r="C14" s="35">
        <f>COUNTIFS(Pipeline!$L$6:$L$65,B14,Pipeline!$M$6:$M$65,"&lt;&gt;Lost")</f>
        <v>1</v>
      </c>
      <c r="D14" s="22">
        <f>SUMIFS(Pipeline!$G$6:$G$65,Pipeline!$L$6:$L$65,B14,Pipeline!$M$6:$M$65,"&lt;&gt;Lost")</f>
        <v>260000</v>
      </c>
      <c r="E14" s="26">
        <f>SUMIFS(Pipeline!$J$6:$J$65,Pipeline!$L$6:$L$65,B14)</f>
        <v>26000</v>
      </c>
      <c r="F14" s="22">
        <f>SUMIFS(Pipeline!$G$6:$G$65,Pipeline!$L$6:$L$65,B14,Pipeline!$M$6:$M$65,"Won")</f>
        <v>0</v>
      </c>
      <c r="G14" s="44" t="n">
        <v>120000</v>
      </c>
      <c r="H14" s="22">
        <f>E14-G14</f>
        <v>-94000</v>
      </c>
      <c r="I14" s="22">
        <f>I13+E14</f>
        <v>881450</v>
      </c>
      <c r="J14" s="22">
        <f>J13+N(G14)</f>
        <v>1080000</v>
      </c>
      <c r="K14" s="22">
        <f>I14-J14</f>
        <v>-198550</v>
      </c>
      <c r="L14" s="27">
        <f>IF(N(G14)=0,0,E14/G14)</f>
        <v>0.216666666666667</v>
      </c>
    </row>
    <row r="15">
      <c r="B15" s="50">
        <f>EDATE(B6,9)</f>
        <v>46600.0</v>
      </c>
      <c r="C15" s="35">
        <f>COUNTIFS(Pipeline!$L$6:$L$65,B15,Pipeline!$M$6:$M$65,"&lt;&gt;Lost")</f>
        <v>1</v>
      </c>
      <c r="D15" s="22">
        <f>SUMIFS(Pipeline!$G$6:$G$65,Pipeline!$L$6:$L$65,B15,Pipeline!$M$6:$M$65,"&lt;&gt;Lost")</f>
        <v>58000</v>
      </c>
      <c r="E15" s="26">
        <f>SUMIFS(Pipeline!$J$6:$J$65,Pipeline!$L$6:$L$65,B15)</f>
        <v>14500</v>
      </c>
      <c r="F15" s="22">
        <f>SUMIFS(Pipeline!$G$6:$G$65,Pipeline!$L$6:$L$65,B15,Pipeline!$M$6:$M$65,"Won")</f>
        <v>0</v>
      </c>
      <c r="G15" s="44" t="n">
        <v>120000</v>
      </c>
      <c r="H15" s="22">
        <f>E15-G15</f>
        <v>-105500</v>
      </c>
      <c r="I15" s="22">
        <f>I14+E15</f>
        <v>895950</v>
      </c>
      <c r="J15" s="22">
        <f>J14+N(G15)</f>
        <v>1200000</v>
      </c>
      <c r="K15" s="22">
        <f>I15-J15</f>
        <v>-304050</v>
      </c>
      <c r="L15" s="27">
        <f>IF(N(G15)=0,0,E15/G15)</f>
        <v>0.120833333333333</v>
      </c>
    </row>
    <row r="16">
      <c r="B16" s="50">
        <f>EDATE(B6,10)</f>
        <v>46631.0</v>
      </c>
      <c r="C16" s="35">
        <f>COUNTIFS(Pipeline!$L$6:$L$65,B16,Pipeline!$M$6:$M$65,"&lt;&gt;Lost")</f>
        <v>1</v>
      </c>
      <c r="D16" s="22">
        <f>SUMIFS(Pipeline!$G$6:$G$65,Pipeline!$L$6:$L$65,B16,Pipeline!$M$6:$M$65,"&lt;&gt;Lost")</f>
        <v>300000</v>
      </c>
      <c r="E16" s="26">
        <f>SUMIFS(Pipeline!$J$6:$J$65,Pipeline!$L$6:$L$65,B16)</f>
        <v>30000</v>
      </c>
      <c r="F16" s="22">
        <f>SUMIFS(Pipeline!$G$6:$G$65,Pipeline!$L$6:$L$65,B16,Pipeline!$M$6:$M$65,"Won")</f>
        <v>0</v>
      </c>
      <c r="G16" s="44" t="n">
        <v>120000</v>
      </c>
      <c r="H16" s="22">
        <f>E16-G16</f>
        <v>-90000</v>
      </c>
      <c r="I16" s="22">
        <f>I15+E16</f>
        <v>925950</v>
      </c>
      <c r="J16" s="22">
        <f>J15+N(G16)</f>
        <v>1320000</v>
      </c>
      <c r="K16" s="22">
        <f>I16-J16</f>
        <v>-394050</v>
      </c>
      <c r="L16" s="27">
        <f>IF(N(G16)=0,0,E16/G16)</f>
        <v>0.25</v>
      </c>
    </row>
    <row r="17">
      <c r="B17" s="50">
        <f>EDATE(B6,11)</f>
        <v>46661.0</v>
      </c>
      <c r="C17" s="35">
        <f>COUNTIFS(Pipeline!$L$6:$L$65,B17,Pipeline!$M$6:$M$65,"&lt;&gt;Lost")</f>
        <v>0</v>
      </c>
      <c r="D17" s="22">
        <f>SUMIFS(Pipeline!$G$6:$G$65,Pipeline!$L$6:$L$65,B17,Pipeline!$M$6:$M$65,"&lt;&gt;Lost")</f>
        <v>0</v>
      </c>
      <c r="E17" s="26">
        <f>SUMIFS(Pipeline!$J$6:$J$65,Pipeline!$L$6:$L$65,B17)</f>
        <v>0</v>
      </c>
      <c r="F17" s="22">
        <f>SUMIFS(Pipeline!$G$6:$G$65,Pipeline!$L$6:$L$65,B17,Pipeline!$M$6:$M$65,"Won")</f>
        <v>0</v>
      </c>
      <c r="G17" s="44" t="n">
        <v>120000</v>
      </c>
      <c r="H17" s="22">
        <f>E17-G17</f>
        <v>-120000</v>
      </c>
      <c r="I17" s="22">
        <f>I16+E17</f>
        <v>925950</v>
      </c>
      <c r="J17" s="22">
        <f>J16+N(G17)</f>
        <v>1440000</v>
      </c>
      <c r="K17" s="22">
        <f>I17-J17</f>
        <v>-514050</v>
      </c>
      <c r="L17" s="27">
        <f>IF(N(G17)=0,0,E17/G17)</f>
        <v>0</v>
      </c>
    </row>
    <row r="18">
      <c r="B18" s="37" t="inlineStr">
        <is>
          <t>12 months</t>
        </is>
      </c>
      <c r="C18" s="38">
        <f>SUM(C6:C17)</f>
        <v>18</v>
      </c>
      <c r="D18" s="39">
        <f>SUM(D6:D17)</f>
        <v>2320000</v>
      </c>
      <c r="E18" s="39">
        <f>SUM(E6:E17)</f>
        <v>925950</v>
      </c>
      <c r="F18" s="39">
        <f>SUM(F6:F17)</f>
        <v>145000</v>
      </c>
      <c r="G18" s="39">
        <f>SUM(G6:G17)</f>
        <v>1440000</v>
      </c>
      <c r="H18" s="39">
        <f>SUM(H6:H17)</f>
        <v>-514050</v>
      </c>
      <c r="I18" s="40" t="n"/>
      <c r="J18" s="40" t="n"/>
      <c r="K18" s="40" t="n"/>
      <c r="L18" s="41">
        <f>IF(G18=0,0,E18/G18)</f>
        <v>0.643020833333333</v>
      </c>
    </row>
    <row r="20">
      <c r="B20" s="4" t="inlineStr">
        <is>
          <t>Open deals outside the 12-month window (not in the forecast above)</t>
        </is>
      </c>
      <c r="C20" s="5" t="n"/>
      <c r="D20" s="5" t="n"/>
      <c r="E20" s="5" t="n"/>
      <c r="F20" s="5" t="n"/>
      <c r="G20" s="5" t="n"/>
      <c r="H20" s="5" t="n"/>
    </row>
    <row r="21" ht="30" customHeight="1">
      <c r="B21" s="51" t="inlineStr"/>
      <c r="C21" s="36" t="inlineStr">
        <is>
          <t>Deals</t>
        </is>
      </c>
      <c r="D21" s="36" t="inlineStr">
        <is>
          <t>Pipeline value</t>
        </is>
      </c>
      <c r="E21" s="36" t="inlineStr">
        <is>
          <t>Weighted value</t>
        </is>
      </c>
    </row>
    <row r="22">
      <c r="B22" s="21" t="inlineStr">
        <is>
          <t>Before start month (update)</t>
        </is>
      </c>
      <c r="C22" s="35">
        <f>COUNTIFS(Pipeline!$M$6:$M$65,"Open",Pipeline!$K$6:$K$65,"&lt;"&amp;'Start here'!$C$22)</f>
        <v>1</v>
      </c>
      <c r="D22" s="22">
        <f>SUMIFS(Pipeline!$G$6:$G$65,Pipeline!$M$6:$M$65,"Open",Pipeline!$K$6:$K$65,"&lt;"&amp;'Start here'!$C$22)</f>
        <v>42000</v>
      </c>
      <c r="E22" s="22">
        <f>SUMIFS(Pipeline!$J$6:$J$65,Pipeline!$M$6:$M$65,"Open",Pipeline!$K$6:$K$65,"&lt;"&amp;'Start here'!$C$22)</f>
        <v>21000</v>
      </c>
    </row>
    <row r="23">
      <c r="B23" s="21" t="inlineStr">
        <is>
          <t>After the 12 months</t>
        </is>
      </c>
      <c r="C23" s="35">
        <f>COUNTIFS(Pipeline!$M$6:$M$65,"Open",Pipeline!$L$6:$L$65,"&gt;"&amp;EDATE('Start here'!$C$22,11))</f>
        <v>1</v>
      </c>
      <c r="D23" s="22">
        <f>SUMIFS(Pipeline!$G$6:$G$65,Pipeline!$M$6:$M$65,"Open",Pipeline!$L$6:$L$65,"&gt;"&amp;EDATE('Start here'!$C$22,11))</f>
        <v>220000</v>
      </c>
      <c r="E23" s="22">
        <f>SUMIFS(Pipeline!$J$6:$J$65,Pipeline!$M$6:$M$65,"Open",Pipeline!$L$6:$L$65,"&gt;"&amp;EDATE('Start here'!$C$22,11))</f>
        <v>22000</v>
      </c>
    </row>
    <row r="24">
      <c r="B24" s="21" t="inlineStr">
        <is>
          <t>No close date yet</t>
        </is>
      </c>
      <c r="C24" s="35">
        <f>COUNTIFS(Pipeline!$M$6:$M$65,"Open")-COUNTIFS(Pipeline!$M$6:$M$65,"Open",Pipeline!$K$6:$K$65,"&gt;0")</f>
        <v>1</v>
      </c>
      <c r="D24" s="22">
        <f>SUMIFS(Pipeline!$G$6:$G$65,Pipeline!$M$6:$M$65,"Open")-SUMIFS(Pipeline!$G$6:$G$65,Pipeline!$M$6:$M$65,"Open",Pipeline!$K$6:$K$65,"&gt;0")</f>
        <v>175000</v>
      </c>
      <c r="E24" s="22">
        <f>SUMIFS(Pipeline!$J$6:$J$65,Pipeline!$M$6:$M$65,"Open")-SUMIFS(Pipeline!$J$6:$J$65,Pipeline!$M$6:$M$65,"Open",Pipeline!$K$6:$K$65,"&gt;0")</f>
        <v>43750</v>
      </c>
    </row>
    <row r="43">
      <c r="B43" s="16" t="inlineStr">
        <is>
          <t>A weighted forecast is an estimate, not a promise. Review it with the deal owners every week.</t>
        </is>
      </c>
    </row>
    <row r="44">
      <c r="B44" s="17" t="inlineStr">
        <is>
          <t>axcellservice.com · Free template · Book a free 30-minute consultation: axcellservice.com/contact</t>
        </is>
      </c>
    </row>
  </sheetData>
  <conditionalFormatting sqref="H6:H18">
    <cfRule type="cellIs" priority="1" operator="lessThan" dxfId="2">
      <formula>0</formula>
    </cfRule>
    <cfRule type="cellIs" priority="2" operator="greaterThanOrEqual" dxfId="6">
      <formula>0</formula>
    </cfRule>
  </conditionalFormatting>
  <conditionalFormatting sqref="K6:K18">
    <cfRule type="cellIs" priority="3" operator="lessThan" dxfId="2">
      <formula>0</formula>
    </cfRule>
    <cfRule type="cellIs" priority="4" operator="greaterThanOrEqual" dxfId="6">
      <formula>0</formula>
    </cfRule>
  </conditionalFormatting>
  <dataValidations count="1">
    <dataValidation sqref="G6:G17" showDropDown="0" showInputMessage="0" showErrorMessage="1" allowBlank="0" error="Enter a positive target." type="decimal" operator="greaterThanOrEqual">
      <formula1>0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Axcell Financial Consulting · axcellservice.com · Free template&amp;R&amp;8 Page &amp;P of &amp;N</oddFooter>
    <evenHeader/>
    <evenFooter/>
    <firstHeader/>
    <firstFooter/>
  </headerFooter>
  <rowBreaks count="1" manualBreakCount="1">
    <brk id="19" min="0" max="16383" man="1"/>
  </rowBreaks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I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4" customWidth="1" min="3" max="3"/>
    <col width="10" customWidth="1" min="4" max="4"/>
    <col width="62" customWidth="1" min="5" max="5"/>
    <col width="3" customWidth="1" min="6" max="6"/>
    <col width="28" customWidth="1" min="7" max="7"/>
    <col width="3" customWidth="1" min="8" max="8"/>
    <col width="26" customWidth="1" min="9" max="9"/>
  </cols>
  <sheetData>
    <row r="1" ht="26" customHeight="1">
      <c r="B1" s="18" t="inlineStr">
        <is>
          <t>Sales stages, probabilities and lists</t>
        </is>
      </c>
    </row>
    <row r="2">
      <c r="B2" s="19" t="inlineStr">
        <is>
          <t>Axcell Financial Consulting · Sales Pipeline &amp; Weighted Forecast</t>
        </is>
      </c>
    </row>
    <row r="3">
      <c r="B3" s="16" t="inlineStr">
        <is>
          <t>Rename the open stages and set their probabilities (yellow). Won and Lost are fixed at 100% and 0%.</t>
        </is>
      </c>
    </row>
    <row r="5" ht="30" customHeight="1">
      <c r="B5" s="36" t="inlineStr">
        <is>
          <t>Stage</t>
        </is>
      </c>
      <c r="C5" s="36" t="inlineStr">
        <is>
          <t>Default probability</t>
        </is>
      </c>
      <c r="D5" s="36" t="inlineStr">
        <is>
          <t>Type</t>
        </is>
      </c>
      <c r="E5" s="36" t="inlineStr">
        <is>
          <t>When a deal is at this stage (exit criteria)</t>
        </is>
      </c>
      <c r="G5" s="36" t="inlineStr">
        <is>
          <t>Sales owners</t>
        </is>
      </c>
      <c r="I5" s="36" t="inlineStr">
        <is>
          <t>Lead sources</t>
        </is>
      </c>
    </row>
    <row r="6">
      <c r="B6" s="43" t="inlineStr">
        <is>
          <t>Lead</t>
        </is>
      </c>
      <c r="C6" s="45" t="n">
        <v>0.1</v>
      </c>
      <c r="D6" s="23" t="inlineStr">
        <is>
          <t>Open</t>
        </is>
      </c>
      <c r="E6" s="43" t="inlineStr">
        <is>
          <t>Contact made; need and budget not yet confirmed.</t>
        </is>
      </c>
      <c r="G6" s="43" t="inlineStr">
        <is>
          <t>Sales rep 1 (Example)</t>
        </is>
      </c>
      <c r="I6" s="43" t="inlineStr">
        <is>
          <t>Referral</t>
        </is>
      </c>
    </row>
    <row r="7">
      <c r="B7" s="43" t="inlineStr">
        <is>
          <t>Qualified</t>
        </is>
      </c>
      <c r="C7" s="45" t="n">
        <v>0.25</v>
      </c>
      <c r="D7" s="23" t="inlineStr">
        <is>
          <t>Open</t>
        </is>
      </c>
      <c r="E7" s="43" t="inlineStr">
        <is>
          <t>Need, budget, decision-maker and timing confirmed.</t>
        </is>
      </c>
      <c r="G7" s="43" t="inlineStr">
        <is>
          <t>Sales rep 2 (Example)</t>
        </is>
      </c>
      <c r="I7" s="43" t="inlineStr">
        <is>
          <t>Existing customer</t>
        </is>
      </c>
    </row>
    <row r="8">
      <c r="B8" s="43" t="inlineStr">
        <is>
          <t>Proposal sent</t>
        </is>
      </c>
      <c r="C8" s="45" t="n">
        <v>0.5</v>
      </c>
      <c r="D8" s="23" t="inlineStr">
        <is>
          <t>Open</t>
        </is>
      </c>
      <c r="E8" s="43" t="inlineStr">
        <is>
          <t>Written proposal or quotation with the customer.</t>
        </is>
      </c>
      <c r="G8" s="43" t="inlineStr">
        <is>
          <t>Owner / GM (Example)</t>
        </is>
      </c>
      <c r="I8" s="43" t="inlineStr">
        <is>
          <t>Website / inbound</t>
        </is>
      </c>
    </row>
    <row r="9">
      <c r="B9" s="43" t="inlineStr">
        <is>
          <t>Negotiation</t>
        </is>
      </c>
      <c r="C9" s="45" t="n">
        <v>0.7</v>
      </c>
      <c r="D9" s="23" t="inlineStr">
        <is>
          <t>Open</t>
        </is>
      </c>
      <c r="E9" s="43" t="inlineStr">
        <is>
          <t>Discussing price, scope or terms; customer intends to buy.</t>
        </is>
      </c>
      <c r="G9" s="43" t="n"/>
      <c r="I9" s="43" t="inlineStr">
        <is>
          <t>Cold outreach</t>
        </is>
      </c>
    </row>
    <row r="10">
      <c r="B10" s="43" t="inlineStr">
        <is>
          <t>Verbal agreement</t>
        </is>
      </c>
      <c r="C10" s="45" t="n">
        <v>0.9</v>
      </c>
      <c r="D10" s="23" t="inlineStr">
        <is>
          <t>Open</t>
        </is>
      </c>
      <c r="E10" s="43" t="inlineStr">
        <is>
          <t>Customer said yes; waiting for PO, contract or deposit.</t>
        </is>
      </c>
      <c r="G10" s="43" t="n"/>
      <c r="I10" s="43" t="inlineStr">
        <is>
          <t>Event / exhibition</t>
        </is>
      </c>
    </row>
    <row r="11">
      <c r="B11" s="25" t="inlineStr">
        <is>
          <t>Won</t>
        </is>
      </c>
      <c r="C11" s="52" t="n">
        <v>1</v>
      </c>
      <c r="D11" s="23" t="inlineStr">
        <is>
          <t>Won</t>
        </is>
      </c>
      <c r="E11" s="21" t="inlineStr">
        <is>
          <t>Signed contract, PO or deposit received.</t>
        </is>
      </c>
      <c r="G11" s="43" t="n"/>
      <c r="I11" s="43" t="inlineStr">
        <is>
          <t>Partner</t>
        </is>
      </c>
    </row>
    <row r="12">
      <c r="B12" s="25" t="inlineStr">
        <is>
          <t>Lost</t>
        </is>
      </c>
      <c r="C12" s="52" t="n">
        <v>0</v>
      </c>
      <c r="D12" s="23" t="inlineStr">
        <is>
          <t>Lost</t>
        </is>
      </c>
      <c r="E12" s="21" t="inlineStr">
        <is>
          <t>Customer chose someone else or dropped the project.</t>
        </is>
      </c>
      <c r="G12" s="43" t="n"/>
      <c r="I12" s="43" t="inlineStr">
        <is>
          <t>Tender</t>
        </is>
      </c>
    </row>
    <row r="13">
      <c r="B13" s="16" t="inlineStr">
        <is>
          <t>Tip: probabilities should rise from stage to stage. A red figure is lower than the stage before it.</t>
        </is>
      </c>
      <c r="G13" s="43" t="n"/>
      <c r="I13" s="43" t="n"/>
    </row>
    <row r="14">
      <c r="G14" s="43" t="n"/>
      <c r="I14" s="43" t="n"/>
    </row>
    <row r="15">
      <c r="G15" s="43" t="n"/>
      <c r="I15" s="43" t="n"/>
    </row>
    <row r="18">
      <c r="B18" s="17" t="inlineStr">
        <is>
          <t>axcellservice.com · Free template · Book a free 30-minute consultation: axcellservice.com/contact</t>
        </is>
      </c>
    </row>
  </sheetData>
  <conditionalFormatting sqref="C6:C10">
    <cfRule type="expression" priority="1" dxfId="2">
      <formula>AND(ROW()&gt;6,C6&lt;OFFSET(C6,-1,0))</formula>
    </cfRule>
  </conditionalFormatting>
  <dataValidations count="1">
    <dataValidation sqref="C6 C7 C8 C9 C10" showDropDown="0" showInputMessage="0" showErrorMessage="1" allowBlank="0" error="Enter a probability between 0% and 100%." type="decimal" operator="between">
      <formula1>0</formula1>
      <formula2>1</formula2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Axcell Financial Consulting · axcellservice.com · Free template&amp;R&amp;8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2026-11-05T09:10:29Z</dcterms:created>
  <dcterms:modified xmlns:dcterms="http://purl.org/dc/terms/" xmlns:xsi="http://www.w3.org/2001/XMLSchema-instance" xsi:type="dcterms:W3CDTF">2026-11-05T09:10:29Z</dcterms:modified>
</cp:coreProperties>
</file>